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MZB_IBCH_update (D)" sheetId="1" r:id="rId1"/>
    <sheet name="MZB_IBCH_update  (F)" sheetId="2" r:id="rId2"/>
  </sheets>
  <definedNames>
    <definedName name="_xlfn._FV" hidden="1">#NAME?</definedName>
    <definedName name="_xlnm.Print_Titles" localSheetId="1">'MZB_IBCH_update  (F)'!$1:$7</definedName>
    <definedName name="_xlnm.Print_Titles" localSheetId="0">'MZB_IBCH_update (D)'!$1:$7</definedName>
    <definedName name="_xlnm.Print_Area" localSheetId="1">'MZB_IBCH_update  (F)'!$A$1:$AD$100</definedName>
    <definedName name="_xlnm.Print_Area" localSheetId="0">'MZB_IBCH_update (D)'!$A$1:$AD$100</definedName>
  </definedNames>
  <calcPr fullCalcOnLoad="1"/>
</workbook>
</file>

<file path=xl/comments1.xml><?xml version="1.0" encoding="utf-8"?>
<comments xmlns="http://schemas.openxmlformats.org/spreadsheetml/2006/main">
  <authors>
    <author>Pascal</author>
  </authors>
  <commentList>
    <comment ref="Z101" authorId="0">
      <text>
        <r>
          <rPr>
            <b/>
            <sz val="9"/>
            <rFont val="Tahoma"/>
            <family val="2"/>
          </rPr>
          <t xml:space="preserve">Pascal
</t>
        </r>
        <r>
          <rPr>
            <sz val="9"/>
            <rFont val="Tahoma"/>
            <family val="2"/>
          </rPr>
          <t>Type d'écoulement et facteurs de correction correspondant</t>
        </r>
      </text>
    </comment>
    <comment ref="E101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ajout des néozoaires</t>
        </r>
      </text>
    </comment>
  </commentList>
</comments>
</file>

<file path=xl/comments2.xml><?xml version="1.0" encoding="utf-8"?>
<comments xmlns="http://schemas.openxmlformats.org/spreadsheetml/2006/main">
  <authors>
    <author>Pascal</author>
  </authors>
  <commentList>
    <comment ref="E101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ajout des néozoaires</t>
        </r>
      </text>
    </comment>
    <comment ref="Z101" authorId="0">
      <text>
        <r>
          <rPr>
            <b/>
            <sz val="9"/>
            <rFont val="Tahoma"/>
            <family val="2"/>
          </rPr>
          <t xml:space="preserve">Pascal
</t>
        </r>
        <r>
          <rPr>
            <sz val="9"/>
            <rFont val="Tahoma"/>
            <family val="2"/>
          </rPr>
          <t>Type d'écoulement et facteurs de correction correspondant</t>
        </r>
      </text>
    </comment>
  </commentList>
</comments>
</file>

<file path=xl/sharedStrings.xml><?xml version="1.0" encoding="utf-8"?>
<sst xmlns="http://schemas.openxmlformats.org/spreadsheetml/2006/main" count="578" uniqueCount="308">
  <si>
    <t>Date :</t>
  </si>
  <si>
    <t>Aphelocheiridae</t>
  </si>
  <si>
    <t>Corixidae</t>
  </si>
  <si>
    <t>Gerridae</t>
  </si>
  <si>
    <t>Lepidostomatidae</t>
  </si>
  <si>
    <t>Hebridae</t>
  </si>
  <si>
    <t>Hydrometridae</t>
  </si>
  <si>
    <t>Mesoveliidae</t>
  </si>
  <si>
    <t>Naucoridae</t>
  </si>
  <si>
    <t>Leptoceridae</t>
  </si>
  <si>
    <t>Nepidae</t>
  </si>
  <si>
    <t>Notonectidae</t>
  </si>
  <si>
    <t>Pleidae</t>
  </si>
  <si>
    <t>Veliidae</t>
  </si>
  <si>
    <t>Megaloptera</t>
  </si>
  <si>
    <t>Sialidae</t>
  </si>
  <si>
    <t>Osmylidae</t>
  </si>
  <si>
    <t>Sisyridae</t>
  </si>
  <si>
    <t>Limnephilidae</t>
  </si>
  <si>
    <t>Coleoptera</t>
  </si>
  <si>
    <t>Curculionidae</t>
  </si>
  <si>
    <t>Chrysomelidae</t>
  </si>
  <si>
    <t>Dryopidae</t>
  </si>
  <si>
    <t>Dytiscidae</t>
  </si>
  <si>
    <t>Molannidae</t>
  </si>
  <si>
    <t>Elmidae</t>
  </si>
  <si>
    <t>Odontoceridae</t>
  </si>
  <si>
    <t>Philopotamidae</t>
  </si>
  <si>
    <t>Phryganeidae</t>
  </si>
  <si>
    <t>Gyrinidae</t>
  </si>
  <si>
    <t>Haliplidae</t>
  </si>
  <si>
    <t>Hydraenidae</t>
  </si>
  <si>
    <t>Hydrophilidae</t>
  </si>
  <si>
    <t>Polycentropodidae</t>
  </si>
  <si>
    <t>Hydroscaphidae</t>
  </si>
  <si>
    <t>Hygrobiidae</t>
  </si>
  <si>
    <t>Noteridae</t>
  </si>
  <si>
    <t>Psychomyiidae</t>
  </si>
  <si>
    <t>Hymenoptera</t>
  </si>
  <si>
    <t>Trichoptera</t>
  </si>
  <si>
    <t>Rhyacophilidae</t>
  </si>
  <si>
    <t>Beraeidae</t>
  </si>
  <si>
    <t>Sericostomatidae</t>
  </si>
  <si>
    <t>Brachycentridae</t>
  </si>
  <si>
    <t>Lepidoptera</t>
  </si>
  <si>
    <t>Diptera</t>
  </si>
  <si>
    <t>Ecnomidae</t>
  </si>
  <si>
    <t>Athericidae</t>
  </si>
  <si>
    <t>Glossosomatidae</t>
  </si>
  <si>
    <t>Blephariceridae</t>
  </si>
  <si>
    <t>Ceratopogonidae</t>
  </si>
  <si>
    <t>Chaoboridae</t>
  </si>
  <si>
    <t>Chironomidae</t>
  </si>
  <si>
    <t>Culicidae</t>
  </si>
  <si>
    <t>Goeridae</t>
  </si>
  <si>
    <t>Dixidae</t>
  </si>
  <si>
    <t>Dolichopodidae</t>
  </si>
  <si>
    <t>Helicopsychidae</t>
  </si>
  <si>
    <t>Empididae</t>
  </si>
  <si>
    <t>Ephydridae</t>
  </si>
  <si>
    <t>Hydropsychidae</t>
  </si>
  <si>
    <t>Psychodidae</t>
  </si>
  <si>
    <t>Ptychopteridae</t>
  </si>
  <si>
    <t>Hydroptilidae</t>
  </si>
  <si>
    <t>Rhagionidae</t>
  </si>
  <si>
    <t>Sciomyzidae</t>
  </si>
  <si>
    <t>Simuliidae</t>
  </si>
  <si>
    <t>Syrphidae</t>
  </si>
  <si>
    <t>Tabanidae</t>
  </si>
  <si>
    <t>Thaumaleidae</t>
  </si>
  <si>
    <t>Tipulidae</t>
  </si>
  <si>
    <t>Altitude :</t>
  </si>
  <si>
    <t>Cours d'eau :</t>
  </si>
  <si>
    <t>Apataniidae</t>
  </si>
  <si>
    <t>Ptilocolepidae</t>
  </si>
  <si>
    <t>ID :</t>
  </si>
  <si>
    <t>Point de départ (X/Y) :</t>
  </si>
  <si>
    <t>Lieu :</t>
  </si>
  <si>
    <t>PORIFERA</t>
  </si>
  <si>
    <t>CNIDARIA</t>
  </si>
  <si>
    <t>BRYOZOA</t>
  </si>
  <si>
    <t>PLATYHELMINTHES</t>
  </si>
  <si>
    <t>Dendrocoelidae</t>
  </si>
  <si>
    <t>Dugesiidae</t>
  </si>
  <si>
    <t>Planariidae</t>
  </si>
  <si>
    <t>"NEMATHELMINTHES"</t>
  </si>
  <si>
    <t>ANNELIDA</t>
  </si>
  <si>
    <t>Hirudinea</t>
  </si>
  <si>
    <t>Erpobdellidae</t>
  </si>
  <si>
    <t>Glossiphoniidae</t>
  </si>
  <si>
    <t>Hirudidae (Tachet)</t>
  </si>
  <si>
    <t>Piscicolidae</t>
  </si>
  <si>
    <t>Neuroptera</t>
  </si>
  <si>
    <t>Oligochaeta</t>
  </si>
  <si>
    <t>MOLLUSCA</t>
  </si>
  <si>
    <t>Gastropoda</t>
  </si>
  <si>
    <t>Acroloxidae</t>
  </si>
  <si>
    <t>Bithyniidae</t>
  </si>
  <si>
    <t>Hydrobiidae</t>
  </si>
  <si>
    <t>Lymnaeidae</t>
  </si>
  <si>
    <t>Neritidae</t>
  </si>
  <si>
    <t>Physidae</t>
  </si>
  <si>
    <t>Planorbidae</t>
  </si>
  <si>
    <t>Valvatidae</t>
  </si>
  <si>
    <t>Viviparidae</t>
  </si>
  <si>
    <t>Bivalvia</t>
  </si>
  <si>
    <t>Sphaeriidae</t>
  </si>
  <si>
    <t>Unionidae</t>
  </si>
  <si>
    <t>ARTHROPODA</t>
  </si>
  <si>
    <t>Arachnida (Inf.-Cl.) Acari</t>
  </si>
  <si>
    <t>Branchiopoda</t>
  </si>
  <si>
    <t>Amphipoda</t>
  </si>
  <si>
    <t>Gammaridae</t>
  </si>
  <si>
    <t>Niphargidae</t>
  </si>
  <si>
    <t>Isopoda</t>
  </si>
  <si>
    <t>Asellidae</t>
  </si>
  <si>
    <t>Mysida</t>
  </si>
  <si>
    <t>Decapoda</t>
  </si>
  <si>
    <t>Astacidae</t>
  </si>
  <si>
    <t>Insecta</t>
  </si>
  <si>
    <t>Ephemeroptera</t>
  </si>
  <si>
    <t>Ameletidae</t>
  </si>
  <si>
    <t>Baetidae</t>
  </si>
  <si>
    <t>Caenidae</t>
  </si>
  <si>
    <t>Ephemerellidae</t>
  </si>
  <si>
    <t>Ephemeridae</t>
  </si>
  <si>
    <t>Heptageniidae</t>
  </si>
  <si>
    <t>Leptophlebiidae</t>
  </si>
  <si>
    <t>Oligoneuriidae</t>
  </si>
  <si>
    <t>Polymitarcyidae</t>
  </si>
  <si>
    <t>Potamanthidae</t>
  </si>
  <si>
    <t>Siphlonuridae</t>
  </si>
  <si>
    <t>Odonata</t>
  </si>
  <si>
    <t>Aeshnidae</t>
  </si>
  <si>
    <t>Calopterygidae</t>
  </si>
  <si>
    <t>Coenagrionidae</t>
  </si>
  <si>
    <t>Corduliidae</t>
  </si>
  <si>
    <t>Gomphidae</t>
  </si>
  <si>
    <t>Lestidae</t>
  </si>
  <si>
    <t>Libellulidae</t>
  </si>
  <si>
    <t>Platycnemididae</t>
  </si>
  <si>
    <t>Plecoptera</t>
  </si>
  <si>
    <t>Capniidae</t>
  </si>
  <si>
    <t>Chloroperlidae</t>
  </si>
  <si>
    <t>Leuctridae</t>
  </si>
  <si>
    <t>Nemouridae</t>
  </si>
  <si>
    <t>Perlidae</t>
  </si>
  <si>
    <t>Perlodidae</t>
  </si>
  <si>
    <t>Taeniopterygidae</t>
  </si>
  <si>
    <t>Protocole-Laboratoire</t>
  </si>
  <si>
    <t>LISTE DES TAXONS</t>
  </si>
  <si>
    <t>Heteroptera</t>
  </si>
  <si>
    <t>Psephenidae</t>
  </si>
  <si>
    <t>Cylindrotomidae</t>
  </si>
  <si>
    <t>Ancylidae (Tachet)</t>
  </si>
  <si>
    <t>:</t>
  </si>
  <si>
    <t>Groupe indicateur GI (max.)</t>
  </si>
  <si>
    <t>IBCH</t>
  </si>
  <si>
    <t>Ferrissiidae (Tachet)</t>
  </si>
  <si>
    <t>Labor-Protokollblatt</t>
  </si>
  <si>
    <t>Gewässer :</t>
  </si>
  <si>
    <t>Ortsname :</t>
  </si>
  <si>
    <t>Datum :</t>
  </si>
  <si>
    <t>Höhe :</t>
  </si>
  <si>
    <t>Startpunkt (X/Y) :</t>
  </si>
  <si>
    <t>TAXALISTE</t>
  </si>
  <si>
    <t>Anthomyiidae/Muscidae</t>
  </si>
  <si>
    <t>BestimmerIn :</t>
  </si>
  <si>
    <t>Corophiidae*</t>
  </si>
  <si>
    <t>Dreissenidae*</t>
  </si>
  <si>
    <t>Corbiculidae*</t>
  </si>
  <si>
    <t>Janiridae*</t>
  </si>
  <si>
    <t>Mysidae*</t>
  </si>
  <si>
    <t>Cambaridae*</t>
  </si>
  <si>
    <t>C. sowerbii*</t>
  </si>
  <si>
    <t>P. antipodarum*</t>
  </si>
  <si>
    <t>H. acuta*</t>
  </si>
  <si>
    <t>Dikerogammarus sp.*</t>
  </si>
  <si>
    <t>Polychaeta*</t>
  </si>
  <si>
    <t>Crangonyctidae*</t>
  </si>
  <si>
    <t>Résultats  IBCH</t>
  </si>
  <si>
    <t>Valeurs</t>
  </si>
  <si>
    <t>Werte</t>
  </si>
  <si>
    <t>0 bis 1</t>
  </si>
  <si>
    <t>de 0 à 1</t>
  </si>
  <si>
    <t>Σ EPT :</t>
  </si>
  <si>
    <t>D. tigrina*</t>
  </si>
  <si>
    <t>IBCH-Q-Regime</t>
  </si>
  <si>
    <t xml:space="preserve"> KW :</t>
  </si>
  <si>
    <t xml:space="preserve">IBCH-Q-Regime : </t>
  </si>
  <si>
    <t>VT converti 0-&gt;1</t>
  </si>
  <si>
    <t>GI converti 0-&gt;1</t>
  </si>
  <si>
    <t>VT attribution</t>
  </si>
  <si>
    <t>calcul IBCH</t>
  </si>
  <si>
    <t>Neozoa*</t>
  </si>
  <si>
    <t>Astacus leptodactylus</t>
  </si>
  <si>
    <t>Atyaephyra desmaresti</t>
  </si>
  <si>
    <t>Barbronia weberi</t>
  </si>
  <si>
    <t>Branchiura sowerbyi</t>
  </si>
  <si>
    <t>Caspiobdella fadejewi</t>
  </si>
  <si>
    <t>Chelicorophium curvispinum</t>
  </si>
  <si>
    <t>Chelicorophium robustum</t>
  </si>
  <si>
    <t>Chelicorophium sowinskyi</t>
  </si>
  <si>
    <t>Cherax destructor</t>
  </si>
  <si>
    <t>Congeria leucophaeata</t>
  </si>
  <si>
    <t>Corbicula fluminalis</t>
  </si>
  <si>
    <t>Corbicula fluminea</t>
  </si>
  <si>
    <t>Cordylophora caspia</t>
  </si>
  <si>
    <t>Crangonyx pseudogracilis</t>
  </si>
  <si>
    <t>Craspedacusta sowerbii</t>
  </si>
  <si>
    <t>Daphnia parvula</t>
  </si>
  <si>
    <t>Dendrocoelum romanodanubiale</t>
  </si>
  <si>
    <t>Dikerogammarus bispinosus</t>
  </si>
  <si>
    <t>Dikerogammarus haemobaphes</t>
  </si>
  <si>
    <t>Dikerogammarus robustus</t>
  </si>
  <si>
    <t>Dikerogammarus villosus</t>
  </si>
  <si>
    <t>Dreissena bugensis</t>
  </si>
  <si>
    <t>Dreissena polymorpha</t>
  </si>
  <si>
    <t>Dugesia tigrina</t>
  </si>
  <si>
    <t>Echinogammarus berilloni</t>
  </si>
  <si>
    <t>Echinogammarus ischnus</t>
  </si>
  <si>
    <t>Echinogammarus trichiatus</t>
  </si>
  <si>
    <t>Eriocheir sinensis</t>
  </si>
  <si>
    <t>Eunapius carteri</t>
  </si>
  <si>
    <t>Ferrissia clessiniana</t>
  </si>
  <si>
    <t>Gammarus tigrinus</t>
  </si>
  <si>
    <t>Gammarus varsoviensis</t>
  </si>
  <si>
    <t>Gyraulus parvus</t>
  </si>
  <si>
    <t>Haitia acuta</t>
  </si>
  <si>
    <t>Haitia heterostropha</t>
  </si>
  <si>
    <t>Hemimysis anomala</t>
  </si>
  <si>
    <t>Hypania invalida</t>
  </si>
  <si>
    <t>Jaera istri</t>
  </si>
  <si>
    <t>Katamysis warpachowski</t>
  </si>
  <si>
    <t>Leptocerus lusitanicus</t>
  </si>
  <si>
    <t>Limnomysis benedeni</t>
  </si>
  <si>
    <t>Lithoglyphus naticoides</t>
  </si>
  <si>
    <t>Menetus dilatatus</t>
  </si>
  <si>
    <t>Musculium transversum</t>
  </si>
  <si>
    <t>Obesogammarus obesus</t>
  </si>
  <si>
    <t>Orconectes immunis</t>
  </si>
  <si>
    <t>Orconectes limosus</t>
  </si>
  <si>
    <t>Pacifastacus leniusculus</t>
  </si>
  <si>
    <t>Pectinatella magnifica</t>
  </si>
  <si>
    <t>Pontogammarus robustoides</t>
  </si>
  <si>
    <t>Potamopyrgus antipodarum</t>
  </si>
  <si>
    <t>Proasellus coxalis</t>
  </si>
  <si>
    <t>Proasellus meridianus</t>
  </si>
  <si>
    <t>Procambarus clarkii</t>
  </si>
  <si>
    <t>Procambarus fallax</t>
  </si>
  <si>
    <t>Procambarus spec.</t>
  </si>
  <si>
    <t>Pseudosuccinea columella</t>
  </si>
  <si>
    <t>Rhithropanopeus harrisii</t>
  </si>
  <si>
    <t>Sinanodonta woodiana</t>
  </si>
  <si>
    <t>Theodoxus fluviatilis</t>
  </si>
  <si>
    <t>Viviparus ater</t>
  </si>
  <si>
    <t>Viviparus viviparus</t>
  </si>
  <si>
    <t>Gammarus roeseli</t>
  </si>
  <si>
    <t>autres néozoaires</t>
  </si>
  <si>
    <t>Σ Neozoaires* :</t>
  </si>
  <si>
    <t>Neozoaires*</t>
  </si>
  <si>
    <t>Σ Neozoa* :</t>
  </si>
  <si>
    <t>weitere Neozoa</t>
  </si>
  <si>
    <t>IBCH_2019_R</t>
  </si>
  <si>
    <t>Ergebnisse IBCH</t>
  </si>
  <si>
    <r>
      <rPr>
        <b/>
        <sz val="10"/>
        <rFont val="Arial"/>
        <family val="2"/>
      </rPr>
      <t>Préleveur/se (leg)</t>
    </r>
    <r>
      <rPr>
        <sz val="10"/>
        <rFont val="Arial"/>
        <family val="2"/>
      </rPr>
      <t xml:space="preserve"> modifier si différent</t>
    </r>
  </si>
  <si>
    <r>
      <rPr>
        <b/>
        <sz val="10"/>
        <rFont val="Arial"/>
        <family val="2"/>
      </rPr>
      <t>FeldbearbeiterIn (leg)</t>
    </r>
    <r>
      <rPr>
        <sz val="10"/>
        <rFont val="Arial"/>
        <family val="2"/>
      </rPr>
      <t xml:space="preserve"> ändern falls anders</t>
    </r>
  </si>
  <si>
    <t>Σ Abondances :</t>
  </si>
  <si>
    <t>Σ Abundanzen :</t>
  </si>
  <si>
    <t>Abondances</t>
  </si>
  <si>
    <t>Abundanzen</t>
  </si>
  <si>
    <t>Colonne E9:E94</t>
  </si>
  <si>
    <t>Colonne V9:V94</t>
  </si>
  <si>
    <t>Total</t>
  </si>
  <si>
    <t>SPEARclass</t>
  </si>
  <si>
    <t>SPEAR LOG(4*X+1)*y</t>
  </si>
  <si>
    <t>SPEAR_SI</t>
  </si>
  <si>
    <t>SPEAR LOG(4*X+1)</t>
  </si>
  <si>
    <t xml:space="preserve">Σ </t>
  </si>
  <si>
    <t>calcul SPEAR</t>
  </si>
  <si>
    <t>Stratiomyidae</t>
  </si>
  <si>
    <t>Hydracarina</t>
  </si>
  <si>
    <t xml:space="preserve"> VC :</t>
  </si>
  <si>
    <t>Cordulegastridae</t>
  </si>
  <si>
    <r>
      <t>Taxons n</t>
    </r>
    <r>
      <rPr>
        <vertAlign val="subscript"/>
        <sz val="11"/>
        <rFont val="Arial"/>
        <family val="2"/>
      </rPr>
      <t>corrigé</t>
    </r>
  </si>
  <si>
    <r>
      <t>Taxa n</t>
    </r>
    <r>
      <rPr>
        <vertAlign val="subscript"/>
        <sz val="11"/>
        <rFont val="Arial"/>
        <family val="2"/>
      </rPr>
      <t>korrigiert</t>
    </r>
  </si>
  <si>
    <t xml:space="preserve">Régime IBCH-Q : </t>
  </si>
  <si>
    <t>Helophoridae (Tachet)</t>
  </si>
  <si>
    <t>Hydrochidae (Tachet)</t>
  </si>
  <si>
    <t>Scirtidae</t>
  </si>
  <si>
    <t>Spercheidae (Tachet)</t>
  </si>
  <si>
    <r>
      <t>Σ Taxa n</t>
    </r>
    <r>
      <rPr>
        <vertAlign val="subscript"/>
        <sz val="11"/>
        <rFont val="Arial"/>
        <family val="2"/>
      </rPr>
      <t>beobachtet</t>
    </r>
  </si>
  <si>
    <r>
      <t>Σ Taxons n</t>
    </r>
    <r>
      <rPr>
        <vertAlign val="subscript"/>
        <sz val="11"/>
        <rFont val="Arial"/>
        <family val="2"/>
      </rPr>
      <t>observé</t>
    </r>
  </si>
  <si>
    <t>Déterminateur/trice :</t>
  </si>
  <si>
    <t>VT</t>
  </si>
  <si>
    <t>GI</t>
  </si>
  <si>
    <t>IBCH_2019</t>
  </si>
  <si>
    <t>Crustacea</t>
  </si>
  <si>
    <t>Limoniidae/Pediciidae</t>
  </si>
  <si>
    <t>Scathophagidae</t>
  </si>
  <si>
    <t>SPEAR_2019.11</t>
  </si>
  <si>
    <t>Obesogammarus crassus</t>
  </si>
  <si>
    <t>Hyalella azteca</t>
  </si>
  <si>
    <t>Taxaliste_Neozoa_PS_20191129</t>
  </si>
  <si>
    <t>DK</t>
  </si>
  <si>
    <t>IG</t>
  </si>
  <si>
    <t>Zeigergruppe IG (max.)</t>
  </si>
  <si>
    <t>AQ/ps_ver_20200106</t>
  </si>
</sst>
</file>

<file path=xl/styles.xml><?xml version="1.0" encoding="utf-8"?>
<styleSheet xmlns="http://schemas.openxmlformats.org/spreadsheetml/2006/main">
  <numFmts count="3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#,##0\ &quot;fr.&quot;;\-#,##0\ &quot;fr.&quot;"/>
    <numFmt numFmtId="171" formatCode="#,##0\ &quot;fr.&quot;;[Red]\-#,##0\ &quot;fr.&quot;"/>
    <numFmt numFmtId="172" formatCode="#,##0.00\ &quot;fr.&quot;;\-#,##0.00\ &quot;fr.&quot;"/>
    <numFmt numFmtId="173" formatCode="#,##0.00\ &quot;fr.&quot;;[Red]\-#,##0.00\ &quot;fr.&quot;"/>
    <numFmt numFmtId="174" formatCode="_-* #,##0\ &quot;fr.&quot;_-;\-* #,##0\ &quot;fr.&quot;_-;_-* &quot;-&quot;\ &quot;fr.&quot;_-;_-@_-"/>
    <numFmt numFmtId="175" formatCode="_-* #,##0\ _f_r_._-;\-* #,##0\ _f_r_._-;_-* &quot;-&quot;\ _f_r_._-;_-@_-"/>
    <numFmt numFmtId="176" formatCode="_-* #,##0.00\ &quot;fr.&quot;_-;\-* #,##0.00\ &quot;fr.&quot;_-;_-* &quot;-&quot;??\ &quot;fr.&quot;_-;_-@_-"/>
    <numFmt numFmtId="177" formatCode="_-* #,##0.00\ _f_r_._-;\-* #,##0.00\ _f_r_._-;_-* &quot;-&quot;??\ _f_r_.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[$-100C]dddd\,\ d\.\ mmmm\ yyyy"/>
    <numFmt numFmtId="185" formatCode="_ * #,##0_ ;_ * \-#,##0_ ;_ * &quot;-&quot;??_ ;_ @_ "/>
    <numFmt numFmtId="186" formatCode="&quot;Vrai&quot;;&quot;Vrai&quot;;&quot;Faux&quot;"/>
    <numFmt numFmtId="187" formatCode="&quot;Actif&quot;;&quot;Actif&quot;;&quot;Inactif&quot;"/>
    <numFmt numFmtId="188" formatCode="[$€-2]\ #,##0.00_);[Red]\([$€-2]\ #,##0.00\)"/>
    <numFmt numFmtId="189" formatCode="0.000"/>
    <numFmt numFmtId="190" formatCode="0.0"/>
    <numFmt numFmtId="191" formatCode="&quot;-&quot;;&quot;-&quot;;&quot;Non&quot;"/>
    <numFmt numFmtId="192" formatCode="&quot;-&quot;;&quot;-&quot;;&quot;-&quot;"/>
    <numFmt numFmtId="193" formatCode="#,##0.00_ ;\-#,##0.00\ "/>
    <numFmt numFmtId="194" formatCode="#,##0.000_ ;\-#,##0.000\ 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1"/>
      <color indexed="12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vertAlign val="subscript"/>
      <sz val="11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/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41">
    <xf numFmtId="0" fontId="0" fillId="0" borderId="0" xfId="0" applyAlignment="1">
      <alignment/>
    </xf>
    <xf numFmtId="0" fontId="13" fillId="33" borderId="10" xfId="53" applyFont="1" applyFill="1" applyBorder="1" applyAlignment="1" applyProtection="1">
      <alignment horizontal="left" vertical="center"/>
      <protection hidden="1"/>
    </xf>
    <xf numFmtId="0" fontId="14" fillId="33" borderId="10" xfId="53" applyFont="1" applyFill="1" applyBorder="1" applyAlignment="1" applyProtection="1">
      <alignment horizontal="center" vertical="center"/>
      <protection hidden="1"/>
    </xf>
    <xf numFmtId="16" fontId="3" fillId="33" borderId="10" xfId="53" applyNumberFormat="1" applyFont="1" applyFill="1" applyBorder="1" applyProtection="1">
      <alignment/>
      <protection hidden="1"/>
    </xf>
    <xf numFmtId="0" fontId="13" fillId="33" borderId="10" xfId="53" applyFont="1" applyFill="1" applyBorder="1" applyAlignment="1" applyProtection="1">
      <alignment horizontal="center" vertical="center"/>
      <protection hidden="1"/>
    </xf>
    <xf numFmtId="0" fontId="11" fillId="33" borderId="10" xfId="53" applyFont="1" applyFill="1" applyBorder="1" applyAlignment="1" applyProtection="1">
      <alignment horizontal="right" vertical="center"/>
      <protection hidden="1"/>
    </xf>
    <xf numFmtId="0" fontId="2" fillId="33" borderId="10" xfId="53" applyFont="1" applyFill="1" applyBorder="1" applyProtection="1">
      <alignment/>
      <protection hidden="1"/>
    </xf>
    <xf numFmtId="0" fontId="3" fillId="33" borderId="10" xfId="53" applyFont="1" applyFill="1" applyBorder="1" applyProtection="1">
      <alignment/>
      <protection hidden="1"/>
    </xf>
    <xf numFmtId="0" fontId="10" fillId="33" borderId="10" xfId="53" applyFont="1" applyFill="1" applyBorder="1" applyProtection="1">
      <alignment/>
      <protection hidden="1"/>
    </xf>
    <xf numFmtId="0" fontId="2" fillId="33" borderId="10" xfId="53" applyFont="1" applyFill="1" applyBorder="1" applyAlignment="1" applyProtection="1">
      <alignment horizontal="right"/>
      <protection hidden="1"/>
    </xf>
    <xf numFmtId="0" fontId="13" fillId="33" borderId="10" xfId="53" applyFont="1" applyFill="1" applyBorder="1" applyAlignment="1" applyProtection="1">
      <alignment horizontal="right" vertical="center"/>
      <protection hidden="1"/>
    </xf>
    <xf numFmtId="0" fontId="3" fillId="0" borderId="0" xfId="53" applyFont="1" applyProtection="1">
      <alignment/>
      <protection hidden="1"/>
    </xf>
    <xf numFmtId="0" fontId="11" fillId="0" borderId="0" xfId="53" applyFont="1" applyAlignment="1" applyProtection="1">
      <alignment horizontal="left"/>
      <protection hidden="1"/>
    </xf>
    <xf numFmtId="0" fontId="14" fillId="0" borderId="0" xfId="53" applyFont="1" applyProtection="1">
      <alignment/>
      <protection hidden="1"/>
    </xf>
    <xf numFmtId="16" fontId="14" fillId="0" borderId="0" xfId="53" applyNumberFormat="1" applyFont="1" applyProtection="1">
      <alignment/>
      <protection hidden="1"/>
    </xf>
    <xf numFmtId="0" fontId="11" fillId="0" borderId="0" xfId="53" applyFont="1" applyAlignment="1" applyProtection="1">
      <alignment horizontal="right" vertical="center"/>
      <protection hidden="1"/>
    </xf>
    <xf numFmtId="0" fontId="11" fillId="0" borderId="0" xfId="53" applyFont="1" applyProtection="1">
      <alignment/>
      <protection hidden="1"/>
    </xf>
    <xf numFmtId="0" fontId="11" fillId="0" borderId="0" xfId="53" applyFont="1" applyAlignment="1" applyProtection="1">
      <alignment horizontal="right"/>
      <protection hidden="1"/>
    </xf>
    <xf numFmtId="0" fontId="11" fillId="0" borderId="0" xfId="53" applyFont="1" applyAlignment="1" applyProtection="1">
      <alignment horizontal="left" vertical="center"/>
      <protection hidden="1"/>
    </xf>
    <xf numFmtId="0" fontId="14" fillId="0" borderId="0" xfId="53" applyFont="1" applyAlignment="1" applyProtection="1">
      <alignment horizontal="center"/>
      <protection hidden="1"/>
    </xf>
    <xf numFmtId="0" fontId="4" fillId="33" borderId="0" xfId="53" applyFont="1" applyFill="1" applyProtection="1">
      <alignment/>
      <protection hidden="1"/>
    </xf>
    <xf numFmtId="0" fontId="12" fillId="34" borderId="0" xfId="53" applyFont="1" applyFill="1" applyAlignment="1" applyProtection="1">
      <alignment horizontal="center"/>
      <protection hidden="1"/>
    </xf>
    <xf numFmtId="0" fontId="0" fillId="33" borderId="0" xfId="53" applyFill="1" applyAlignment="1" applyProtection="1">
      <alignment horizontal="center"/>
      <protection hidden="1"/>
    </xf>
    <xf numFmtId="0" fontId="4" fillId="0" borderId="0" xfId="53" applyFont="1" applyProtection="1">
      <alignment/>
      <protection hidden="1"/>
    </xf>
    <xf numFmtId="0" fontId="15" fillId="0" borderId="0" xfId="53" applyFont="1" applyProtection="1">
      <alignment/>
      <protection hidden="1"/>
    </xf>
    <xf numFmtId="0" fontId="10" fillId="0" borderId="0" xfId="53" applyFont="1" applyAlignment="1" applyProtection="1">
      <alignment horizontal="center"/>
      <protection hidden="1"/>
    </xf>
    <xf numFmtId="0" fontId="10" fillId="0" borderId="0" xfId="53" applyFont="1" applyProtection="1">
      <alignment/>
      <protection hidden="1"/>
    </xf>
    <xf numFmtId="0" fontId="15" fillId="35" borderId="11" xfId="53" applyFont="1" applyFill="1" applyBorder="1" applyAlignment="1" applyProtection="1">
      <alignment horizontal="center"/>
      <protection locked="0"/>
    </xf>
    <xf numFmtId="0" fontId="10" fillId="0" borderId="12" xfId="53" applyFont="1" applyBorder="1" applyProtection="1">
      <alignment/>
      <protection locked="0"/>
    </xf>
    <xf numFmtId="0" fontId="10" fillId="0" borderId="13" xfId="53" applyFont="1" applyBorder="1" applyProtection="1">
      <alignment/>
      <protection locked="0"/>
    </xf>
    <xf numFmtId="0" fontId="10" fillId="0" borderId="14" xfId="53" applyFont="1" applyBorder="1" applyProtection="1">
      <alignment/>
      <protection hidden="1"/>
    </xf>
    <xf numFmtId="0" fontId="15" fillId="0" borderId="0" xfId="53" applyFont="1" applyAlignment="1" applyProtection="1">
      <alignment horizontal="center"/>
      <protection hidden="1"/>
    </xf>
    <xf numFmtId="0" fontId="15" fillId="0" borderId="14" xfId="53" applyFont="1" applyBorder="1" applyProtection="1">
      <alignment/>
      <protection hidden="1"/>
    </xf>
    <xf numFmtId="0" fontId="15" fillId="0" borderId="15" xfId="53" applyFont="1" applyBorder="1" applyProtection="1">
      <alignment/>
      <protection hidden="1"/>
    </xf>
    <xf numFmtId="0" fontId="10" fillId="0" borderId="15" xfId="53" applyFont="1" applyBorder="1" applyProtection="1">
      <alignment/>
      <protection hidden="1"/>
    </xf>
    <xf numFmtId="0" fontId="15" fillId="0" borderId="0" xfId="53" applyFont="1" applyAlignment="1" applyProtection="1">
      <alignment horizontal="left"/>
      <protection hidden="1"/>
    </xf>
    <xf numFmtId="0" fontId="16" fillId="0" borderId="15" xfId="53" applyFont="1" applyBorder="1" applyProtection="1">
      <alignment/>
      <protection hidden="1"/>
    </xf>
    <xf numFmtId="0" fontId="15" fillId="0" borderId="16" xfId="53" applyFont="1" applyBorder="1" applyProtection="1">
      <alignment/>
      <protection hidden="1"/>
    </xf>
    <xf numFmtId="0" fontId="10" fillId="0" borderId="16" xfId="53" applyFont="1" applyBorder="1" applyProtection="1">
      <alignment/>
      <protection hidden="1"/>
    </xf>
    <xf numFmtId="0" fontId="16" fillId="0" borderId="0" xfId="53" applyFont="1" applyProtection="1">
      <alignment/>
      <protection hidden="1"/>
    </xf>
    <xf numFmtId="0" fontId="10" fillId="0" borderId="17" xfId="53" applyFont="1" applyBorder="1" applyProtection="1">
      <alignment/>
      <protection locked="0"/>
    </xf>
    <xf numFmtId="0" fontId="10" fillId="0" borderId="15" xfId="53" applyFont="1" applyBorder="1" applyProtection="1">
      <alignment/>
      <protection locked="0"/>
    </xf>
    <xf numFmtId="0" fontId="15" fillId="35" borderId="18" xfId="53" applyFont="1" applyFill="1" applyBorder="1" applyAlignment="1" applyProtection="1">
      <alignment horizontal="center"/>
      <protection locked="0"/>
    </xf>
    <xf numFmtId="0" fontId="17" fillId="0" borderId="15" xfId="53" applyFont="1" applyBorder="1" applyProtection="1">
      <alignment/>
      <protection hidden="1"/>
    </xf>
    <xf numFmtId="0" fontId="10" fillId="0" borderId="19" xfId="53" applyFont="1" applyBorder="1" applyProtection="1">
      <alignment/>
      <protection hidden="1"/>
    </xf>
    <xf numFmtId="0" fontId="0" fillId="0" borderId="0" xfId="53" applyProtection="1">
      <alignment/>
      <protection hidden="1"/>
    </xf>
    <xf numFmtId="0" fontId="6" fillId="0" borderId="0" xfId="53" applyFont="1" applyProtection="1">
      <alignment/>
      <protection hidden="1"/>
    </xf>
    <xf numFmtId="0" fontId="5" fillId="0" borderId="0" xfId="53" applyFont="1" applyAlignment="1" applyProtection="1">
      <alignment horizontal="center"/>
      <protection hidden="1"/>
    </xf>
    <xf numFmtId="0" fontId="10" fillId="33" borderId="16" xfId="53" applyFont="1" applyFill="1" applyBorder="1" applyProtection="1">
      <alignment/>
      <protection hidden="1"/>
    </xf>
    <xf numFmtId="0" fontId="10" fillId="33" borderId="16" xfId="53" applyFont="1" applyFill="1" applyBorder="1" applyAlignment="1" applyProtection="1">
      <alignment horizontal="right"/>
      <protection hidden="1"/>
    </xf>
    <xf numFmtId="0" fontId="10" fillId="33" borderId="20" xfId="53" applyFont="1" applyFill="1" applyBorder="1" applyProtection="1">
      <alignment/>
      <protection hidden="1"/>
    </xf>
    <xf numFmtId="0" fontId="10" fillId="33" borderId="18" xfId="53" applyFont="1" applyFill="1" applyBorder="1" applyAlignment="1" applyProtection="1">
      <alignment horizontal="center"/>
      <protection hidden="1"/>
    </xf>
    <xf numFmtId="0" fontId="10" fillId="33" borderId="21" xfId="53" applyFont="1" applyFill="1" applyBorder="1" applyProtection="1">
      <alignment/>
      <protection hidden="1"/>
    </xf>
    <xf numFmtId="0" fontId="15" fillId="33" borderId="16" xfId="53" applyFont="1" applyFill="1" applyBorder="1" applyAlignment="1" applyProtection="1">
      <alignment horizontal="left"/>
      <protection hidden="1"/>
    </xf>
    <xf numFmtId="0" fontId="10" fillId="33" borderId="15" xfId="53" applyFont="1" applyFill="1" applyBorder="1" applyAlignment="1" applyProtection="1">
      <alignment horizontal="left"/>
      <protection hidden="1"/>
    </xf>
    <xf numFmtId="0" fontId="15" fillId="33" borderId="15" xfId="53" applyFont="1" applyFill="1" applyBorder="1" applyAlignment="1" applyProtection="1">
      <alignment horizontal="left"/>
      <protection hidden="1"/>
    </xf>
    <xf numFmtId="0" fontId="10" fillId="33" borderId="15" xfId="53" applyFont="1" applyFill="1" applyBorder="1" applyProtection="1">
      <alignment/>
      <protection hidden="1"/>
    </xf>
    <xf numFmtId="0" fontId="0" fillId="33" borderId="15" xfId="53" applyFill="1" applyBorder="1" applyProtection="1">
      <alignment/>
      <protection hidden="1"/>
    </xf>
    <xf numFmtId="0" fontId="10" fillId="33" borderId="15" xfId="53" applyFont="1" applyFill="1" applyBorder="1" applyAlignment="1" applyProtection="1">
      <alignment horizontal="right"/>
      <protection hidden="1"/>
    </xf>
    <xf numFmtId="0" fontId="10" fillId="33" borderId="19" xfId="53" applyFont="1" applyFill="1" applyBorder="1" applyProtection="1">
      <alignment/>
      <protection hidden="1"/>
    </xf>
    <xf numFmtId="0" fontId="10" fillId="33" borderId="17" xfId="53" applyFont="1" applyFill="1" applyBorder="1" applyProtection="1">
      <alignment/>
      <protection hidden="1"/>
    </xf>
    <xf numFmtId="0" fontId="6" fillId="36" borderId="0" xfId="53" applyFont="1" applyFill="1" applyProtection="1">
      <alignment/>
      <protection hidden="1"/>
    </xf>
    <xf numFmtId="0" fontId="7" fillId="36" borderId="0" xfId="53" applyFont="1" applyFill="1" applyProtection="1">
      <alignment/>
      <protection hidden="1"/>
    </xf>
    <xf numFmtId="0" fontId="13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right"/>
      <protection hidden="1"/>
    </xf>
    <xf numFmtId="0" fontId="11" fillId="0" borderId="0" xfId="53" applyFont="1" applyAlignment="1">
      <alignment horizontal="right"/>
      <protection/>
    </xf>
    <xf numFmtId="0" fontId="10" fillId="0" borderId="12" xfId="53" applyFont="1" applyBorder="1" applyProtection="1">
      <alignment/>
      <protection hidden="1" locked="0"/>
    </xf>
    <xf numFmtId="0" fontId="10" fillId="0" borderId="13" xfId="53" applyFont="1" applyBorder="1" applyProtection="1">
      <alignment/>
      <protection hidden="1" locked="0"/>
    </xf>
    <xf numFmtId="0" fontId="10" fillId="33" borderId="0" xfId="53" applyFont="1" applyFill="1" applyAlignment="1" applyProtection="1">
      <alignment horizontal="left"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10" fillId="33" borderId="0" xfId="53" applyFont="1" applyFill="1" applyProtection="1">
      <alignment/>
      <protection hidden="1"/>
    </xf>
    <xf numFmtId="0" fontId="11" fillId="0" borderId="22" xfId="53" applyFont="1" applyBorder="1" applyAlignment="1" applyProtection="1">
      <alignment horizontal="center"/>
      <protection locked="0"/>
    </xf>
    <xf numFmtId="0" fontId="11" fillId="0" borderId="12" xfId="49" applyNumberFormat="1" applyFont="1" applyBorder="1" applyAlignment="1" applyProtection="1">
      <alignment horizontal="center"/>
      <protection locked="0"/>
    </xf>
    <xf numFmtId="0" fontId="15" fillId="37" borderId="18" xfId="53" applyFont="1" applyFill="1" applyBorder="1" applyAlignment="1" applyProtection="1">
      <alignment horizontal="center"/>
      <protection locked="0"/>
    </xf>
    <xf numFmtId="0" fontId="16" fillId="0" borderId="13" xfId="53" applyFont="1" applyBorder="1" applyAlignment="1" applyProtection="1">
      <alignment horizontal="right"/>
      <protection hidden="1"/>
    </xf>
    <xf numFmtId="0" fontId="10" fillId="0" borderId="0" xfId="53" applyFont="1" applyAlignment="1" applyProtection="1">
      <alignment horizontal="right"/>
      <protection hidden="1"/>
    </xf>
    <xf numFmtId="0" fontId="10" fillId="33" borderId="23" xfId="53" applyFont="1" applyFill="1" applyBorder="1" applyProtection="1">
      <alignment/>
      <protection hidden="1"/>
    </xf>
    <xf numFmtId="0" fontId="15" fillId="33" borderId="0" xfId="53" applyFont="1" applyFill="1" applyAlignment="1" applyProtection="1">
      <alignment horizontal="left"/>
      <protection hidden="1"/>
    </xf>
    <xf numFmtId="0" fontId="15" fillId="33" borderId="15" xfId="53" applyFont="1" applyFill="1" applyBorder="1" applyAlignment="1" applyProtection="1">
      <alignment horizontal="right" indent="1"/>
      <protection hidden="1"/>
    </xf>
    <xf numFmtId="0" fontId="10" fillId="0" borderId="0" xfId="53" applyFont="1" applyAlignment="1" applyProtection="1">
      <alignment horizontal="right" indent="1"/>
      <protection hidden="1"/>
    </xf>
    <xf numFmtId="0" fontId="15" fillId="33" borderId="24" xfId="53" applyFont="1" applyFill="1" applyBorder="1" applyAlignment="1" applyProtection="1">
      <alignment horizontal="right" indent="1"/>
      <protection hidden="1"/>
    </xf>
    <xf numFmtId="0" fontId="15" fillId="33" borderId="25" xfId="53" applyFont="1" applyFill="1" applyBorder="1" applyAlignment="1" applyProtection="1">
      <alignment horizontal="right" indent="1"/>
      <protection hidden="1"/>
    </xf>
    <xf numFmtId="0" fontId="6" fillId="0" borderId="0" xfId="53" applyFont="1" applyAlignment="1" applyProtection="1">
      <alignment vertical="top"/>
      <protection hidden="1"/>
    </xf>
    <xf numFmtId="0" fontId="10" fillId="33" borderId="20" xfId="53" applyFont="1" applyFill="1" applyBorder="1" applyAlignment="1" applyProtection="1">
      <alignment horizontal="right" indent="1"/>
      <protection hidden="1"/>
    </xf>
    <xf numFmtId="0" fontId="10" fillId="33" borderId="14" xfId="53" applyFont="1" applyFill="1" applyBorder="1" applyAlignment="1" applyProtection="1">
      <alignment horizontal="right" indent="1"/>
      <protection hidden="1"/>
    </xf>
    <xf numFmtId="0" fontId="0" fillId="33" borderId="0" xfId="53" applyFill="1" applyProtection="1">
      <alignment/>
      <protection hidden="1"/>
    </xf>
    <xf numFmtId="0" fontId="12" fillId="34" borderId="0" xfId="53" applyFont="1" applyFill="1" applyAlignment="1" applyProtection="1">
      <alignment horizontal="right"/>
      <protection hidden="1"/>
    </xf>
    <xf numFmtId="0" fontId="0" fillId="34" borderId="0" xfId="53" applyFill="1" applyAlignment="1" applyProtection="1">
      <alignment horizontal="right"/>
      <protection hidden="1"/>
    </xf>
    <xf numFmtId="43" fontId="10" fillId="0" borderId="0" xfId="53" applyNumberFormat="1" applyFont="1" applyProtection="1">
      <alignment/>
      <protection hidden="1"/>
    </xf>
    <xf numFmtId="43" fontId="0" fillId="33" borderId="0" xfId="47" applyFont="1" applyFill="1" applyAlignment="1" applyProtection="1">
      <alignment/>
      <protection hidden="1"/>
    </xf>
    <xf numFmtId="0" fontId="10" fillId="0" borderId="10" xfId="53" applyFont="1" applyBorder="1" applyProtection="1">
      <alignment/>
      <protection hidden="1"/>
    </xf>
    <xf numFmtId="0" fontId="10" fillId="0" borderId="15" xfId="53" applyFont="1" applyBorder="1" applyAlignment="1" applyProtection="1">
      <alignment horizontal="right"/>
      <protection hidden="1"/>
    </xf>
    <xf numFmtId="0" fontId="0" fillId="0" borderId="0" xfId="53" applyAlignment="1" applyProtection="1">
      <alignment horizontal="right"/>
      <protection hidden="1"/>
    </xf>
    <xf numFmtId="0" fontId="21" fillId="36" borderId="0" xfId="53" applyFont="1" applyFill="1" applyAlignment="1" applyProtection="1">
      <alignment horizontal="right"/>
      <protection hidden="1"/>
    </xf>
    <xf numFmtId="2" fontId="0" fillId="0" borderId="0" xfId="47" applyNumberFormat="1" applyFont="1" applyAlignment="1" applyProtection="1">
      <alignment/>
      <protection hidden="1"/>
    </xf>
    <xf numFmtId="2" fontId="0" fillId="0" borderId="0" xfId="47" applyNumberFormat="1" applyFont="1" applyAlignment="1" applyProtection="1">
      <alignment horizontal="right"/>
      <protection hidden="1"/>
    </xf>
    <xf numFmtId="2" fontId="10" fillId="0" borderId="0" xfId="53" applyNumberFormat="1" applyFont="1" applyProtection="1">
      <alignment/>
      <protection hidden="1"/>
    </xf>
    <xf numFmtId="2" fontId="63" fillId="0" borderId="0" xfId="47" applyNumberFormat="1" applyFont="1" applyAlignment="1" applyProtection="1">
      <alignment horizontal="right"/>
      <protection hidden="1"/>
    </xf>
    <xf numFmtId="2" fontId="4" fillId="38" borderId="16" xfId="47" applyNumberFormat="1" applyFont="1" applyFill="1" applyBorder="1" applyAlignment="1" applyProtection="1">
      <alignment horizontal="right"/>
      <protection hidden="1"/>
    </xf>
    <xf numFmtId="0" fontId="22" fillId="0" borderId="16" xfId="53" applyFont="1" applyBorder="1" applyAlignment="1" applyProtection="1">
      <alignment horizontal="left" indent="1"/>
      <protection hidden="1"/>
    </xf>
    <xf numFmtId="0" fontId="0" fillId="0" borderId="16" xfId="53" applyBorder="1" applyProtection="1">
      <alignment/>
      <protection hidden="1"/>
    </xf>
    <xf numFmtId="0" fontId="0" fillId="0" borderId="0" xfId="53" applyAlignment="1" applyProtection="1">
      <alignment horizontal="right" vertical="center"/>
      <protection hidden="1"/>
    </xf>
    <xf numFmtId="2" fontId="4" fillId="38" borderId="26" xfId="53" applyNumberFormat="1" applyFont="1" applyFill="1" applyBorder="1" applyProtection="1">
      <alignment/>
      <protection hidden="1"/>
    </xf>
    <xf numFmtId="2" fontId="4" fillId="38" borderId="16" xfId="53" applyNumberFormat="1" applyFont="1" applyFill="1" applyBorder="1" applyProtection="1">
      <alignment/>
      <protection hidden="1"/>
    </xf>
    <xf numFmtId="0" fontId="23" fillId="0" borderId="16" xfId="53" applyFont="1" applyBorder="1" applyAlignment="1" applyProtection="1">
      <alignment horizontal="left" indent="1"/>
      <protection hidden="1"/>
    </xf>
    <xf numFmtId="0" fontId="0" fillId="0" borderId="0" xfId="0" applyFont="1" applyAlignment="1">
      <alignment/>
    </xf>
    <xf numFmtId="0" fontId="15" fillId="0" borderId="0" xfId="53" applyFont="1" applyAlignment="1" applyProtection="1">
      <alignment horizontal="right"/>
      <protection hidden="1"/>
    </xf>
    <xf numFmtId="0" fontId="10" fillId="0" borderId="0" xfId="53" applyFont="1" applyProtection="1">
      <alignment/>
      <protection hidden="1" locked="0"/>
    </xf>
    <xf numFmtId="0" fontId="15" fillId="0" borderId="0" xfId="53" applyFont="1" applyProtection="1">
      <alignment/>
      <protection hidden="1" locked="0"/>
    </xf>
    <xf numFmtId="0" fontId="10" fillId="0" borderId="0" xfId="53" applyFont="1" applyAlignment="1" applyProtection="1">
      <alignment horizontal="left"/>
      <protection hidden="1"/>
    </xf>
    <xf numFmtId="0" fontId="0" fillId="33" borderId="15" xfId="53" applyFill="1" applyBorder="1" applyProtection="1">
      <alignment/>
      <protection hidden="1"/>
    </xf>
    <xf numFmtId="0" fontId="0" fillId="33" borderId="0" xfId="53" applyFill="1" applyAlignment="1" applyProtection="1">
      <alignment vertical="center"/>
      <protection hidden="1"/>
    </xf>
    <xf numFmtId="0" fontId="2" fillId="33" borderId="16" xfId="53" applyFont="1" applyFill="1" applyBorder="1" applyAlignment="1" applyProtection="1">
      <alignment horizontal="left" vertical="center"/>
      <protection hidden="1"/>
    </xf>
    <xf numFmtId="0" fontId="10" fillId="33" borderId="19" xfId="53" applyFont="1" applyFill="1" applyBorder="1" applyAlignment="1" applyProtection="1">
      <alignment horizontal="right" indent="1"/>
      <protection hidden="1"/>
    </xf>
    <xf numFmtId="0" fontId="12" fillId="0" borderId="0" xfId="53" applyFont="1" applyProtection="1">
      <alignment/>
      <protection hidden="1"/>
    </xf>
    <xf numFmtId="3" fontId="10" fillId="33" borderId="18" xfId="53" applyNumberFormat="1" applyFont="1" applyFill="1" applyBorder="1" applyAlignment="1" applyProtection="1">
      <alignment horizontal="center"/>
      <protection hidden="1"/>
    </xf>
    <xf numFmtId="0" fontId="64" fillId="0" borderId="13" xfId="53" applyFont="1" applyBorder="1" applyProtection="1">
      <alignment/>
      <protection locked="0"/>
    </xf>
    <xf numFmtId="0" fontId="5" fillId="0" borderId="0" xfId="53" applyFont="1" applyProtection="1">
      <alignment/>
      <protection hidden="1"/>
    </xf>
    <xf numFmtId="0" fontId="0" fillId="0" borderId="0" xfId="0" applyFont="1" applyAlignment="1">
      <alignment horizontal="center"/>
    </xf>
    <xf numFmtId="43" fontId="0" fillId="0" borderId="0" xfId="49" applyAlignment="1" applyProtection="1">
      <alignment/>
      <protection hidden="1"/>
    </xf>
    <xf numFmtId="43" fontId="4" fillId="0" borderId="0" xfId="49" applyFont="1" applyAlignment="1" applyProtection="1">
      <alignment/>
      <protection hidden="1"/>
    </xf>
    <xf numFmtId="43" fontId="15" fillId="0" borderId="0" xfId="49" applyFont="1" applyAlignment="1" applyProtection="1">
      <alignment/>
      <protection hidden="1"/>
    </xf>
    <xf numFmtId="43" fontId="10" fillId="0" borderId="0" xfId="49" applyFont="1" applyAlignment="1" applyProtection="1">
      <alignment/>
      <protection hidden="1"/>
    </xf>
    <xf numFmtId="0" fontId="0" fillId="0" borderId="0" xfId="53" applyAlignment="1" applyProtection="1">
      <alignment vertical="center"/>
      <protection hidden="1"/>
    </xf>
    <xf numFmtId="2" fontId="0" fillId="0" borderId="0" xfId="53" applyNumberFormat="1" applyProtection="1">
      <alignment/>
      <protection hidden="1"/>
    </xf>
    <xf numFmtId="0" fontId="23" fillId="0" borderId="0" xfId="53" applyFont="1" applyAlignment="1" applyProtection="1">
      <alignment horizontal="left" indent="1"/>
      <protection hidden="1"/>
    </xf>
    <xf numFmtId="0" fontId="21" fillId="39" borderId="11" xfId="53" applyFont="1" applyFill="1" applyBorder="1" applyAlignment="1" applyProtection="1">
      <alignment horizontal="left" indent="1"/>
      <protection hidden="1" locked="0"/>
    </xf>
    <xf numFmtId="0" fontId="21" fillId="39" borderId="10" xfId="53" applyFont="1" applyFill="1" applyBorder="1" applyAlignment="1" applyProtection="1">
      <alignment horizontal="left" indent="1"/>
      <protection hidden="1" locked="0"/>
    </xf>
    <xf numFmtId="0" fontId="21" fillId="39" borderId="27" xfId="53" applyFont="1" applyFill="1" applyBorder="1" applyAlignment="1" applyProtection="1">
      <alignment horizontal="left" indent="1"/>
      <protection hidden="1" locked="0"/>
    </xf>
    <xf numFmtId="1" fontId="11" fillId="33" borderId="10" xfId="53" applyNumberFormat="1" applyFont="1" applyFill="1" applyBorder="1" applyAlignment="1" applyProtection="1">
      <alignment horizontal="center" vertical="center"/>
      <protection locked="0"/>
    </xf>
    <xf numFmtId="192" fontId="10" fillId="0" borderId="11" xfId="53" applyNumberFormat="1" applyFont="1" applyBorder="1" applyAlignment="1" applyProtection="1">
      <alignment horizontal="left"/>
      <protection hidden="1" locked="0"/>
    </xf>
    <xf numFmtId="192" fontId="10" fillId="0" borderId="10" xfId="53" applyNumberFormat="1" applyFont="1" applyBorder="1" applyAlignment="1" applyProtection="1">
      <alignment horizontal="left"/>
      <protection hidden="1" locked="0"/>
    </xf>
    <xf numFmtId="192" fontId="10" fillId="0" borderId="27" xfId="53" applyNumberFormat="1" applyFont="1" applyBorder="1" applyAlignment="1" applyProtection="1">
      <alignment horizontal="left"/>
      <protection hidden="1" locked="0"/>
    </xf>
    <xf numFmtId="49" fontId="11" fillId="0" borderId="13" xfId="53" applyNumberFormat="1" applyFont="1" applyBorder="1" applyAlignment="1" applyProtection="1">
      <alignment horizontal="left"/>
      <protection locked="0"/>
    </xf>
    <xf numFmtId="14" fontId="11" fillId="0" borderId="13" xfId="53" applyNumberFormat="1" applyFont="1" applyBorder="1" applyAlignment="1" applyProtection="1">
      <alignment horizontal="center"/>
      <protection locked="0"/>
    </xf>
    <xf numFmtId="0" fontId="11" fillId="0" borderId="13" xfId="53" applyFont="1" applyBorder="1" applyAlignment="1" applyProtection="1">
      <alignment horizontal="center"/>
      <protection locked="0"/>
    </xf>
    <xf numFmtId="0" fontId="12" fillId="40" borderId="10" xfId="53" applyFont="1" applyFill="1" applyBorder="1" applyAlignment="1" applyProtection="1">
      <alignment horizontal="center"/>
      <protection hidden="1" locked="0"/>
    </xf>
    <xf numFmtId="194" fontId="15" fillId="39" borderId="28" xfId="49" applyNumberFormat="1" applyFont="1" applyFill="1" applyBorder="1" applyAlignment="1" applyProtection="1">
      <alignment horizontal="right"/>
      <protection hidden="1"/>
    </xf>
    <xf numFmtId="194" fontId="15" fillId="39" borderId="29" xfId="49" applyNumberFormat="1" applyFont="1" applyFill="1" applyBorder="1" applyAlignment="1" applyProtection="1">
      <alignment horizontal="right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2 2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15"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 patternType="none">
          <bgColor indexed="65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3" tint="0.5999600291252136"/>
        </patternFill>
      </fill>
    </dxf>
    <dxf>
      <font>
        <color theme="1"/>
      </font>
      <fill>
        <patternFill patternType="none">
          <bgColor indexed="65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 patternType="none">
          <bgColor indexed="65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3" tint="0.5999600291252136"/>
        </patternFill>
      </fill>
    </dxf>
    <dxf>
      <font>
        <color theme="1"/>
      </font>
      <fill>
        <patternFill patternType="none">
          <bgColor indexed="65"/>
        </patternFill>
      </fill>
    </dxf>
    <dxf>
      <font>
        <color theme="1"/>
      </font>
      <fill>
        <patternFill>
          <bgColor rgb="FFFFFF66"/>
        </patternFill>
      </fill>
      <border/>
    </dxf>
    <dxf>
      <font>
        <color theme="1"/>
      </font>
      <fill>
        <patternFill>
          <bgColor rgb="FFFF9900"/>
        </patternFill>
      </fill>
      <border/>
    </dxf>
    <dxf>
      <font>
        <color theme="1"/>
      </font>
      <fill>
        <patternFill>
          <bgColor rgb="FFFF5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3">
    <xsd:schema xmlns:xsd="http://www.w3.org/2001/XMLSchema">
      <xsd:element nillable="true" name="Root">
        <xsd:complexType>
          <xsd:sequence minOccurs="0">
            <xsd:element minOccurs="0" nillable="true" name="md_monitoringpoint" form="unqualified">
              <xsd:complexType>
                <xsd:sequence minOccurs="0">
                  <xsd:element minOccurs="0" nillable="true" type="xsd:string" name="OID" form="unqualified"/>
                  <xsd:element minOccurs="0" nillable="true" type="xsd:string" name="Label" form="unqualified"/>
                  <xsd:element minOccurs="0" nillable="true" type="xsd:string" name="Description" form="unqualified"/>
                  <xsd:element minOccurs="0" nillable="true" type="xsd:integer" name="Coord_X" form="unqualified"/>
                  <xsd:element minOccurs="0" nillable="true" type="xsd:integer" name="Coord_Y" form="unqualified"/>
                  <xsd:element minOccurs="0" nillable="true" type="xsd:integer" name="Altitude" form="unqualified"/>
                  <xsd:element minOccurs="0" nillable="true" name="td_sample" form="unqualified">
                    <xsd:complexType>
                      <xsd:sequence minOccurs="0">
                        <xsd:element minOccurs="0" nillable="true" type="xsd:string" name="ResponsibleParty" form="unqualified"/>
                        <xsd:element minOccurs="0" nillable="true" type="xsd:string" name="Date" form="unqualified"/>
                        <xsd:element minOccurs="0" nillable="true" type="xsd:integer" name="Porifera" form="unqualified"/>
                        <xsd:element minOccurs="0" nillable="true" type="xsd:integer" name="Cnidaria" form="unqualified"/>
                        <xsd:element minOccurs="0" nillable="true" type="xsd:integer" name="Bryozoa" form="unqualified"/>
                        <xsd:element minOccurs="0" nillable="true" type="xsd:integer" name="Dendrocoelidae" form="unqualified"/>
                        <xsd:element minOccurs="0" nillable="true" type="xsd:integer" name="Dugesiidae" form="unqualified"/>
                        <xsd:element minOccurs="0" nillable="true" type="xsd:integer" name="Planariidae" form="unqualified"/>
                        <xsd:element minOccurs="0" nillable="true" type="xsd:integer" name="Nemathelminthes" form="unqualified"/>
                        <xsd:element minOccurs="0" nillable="true" type="xsd:integer" name="Erpobdellidae" form="unqualified"/>
                        <xsd:element minOccurs="0" nillable="true" type="xsd:integer" name="Glossiphoniidae" form="unqualified"/>
                        <xsd:element minOccurs="0" nillable="true" type="xsd:integer" name="Hirudidae" form="unqualified"/>
                        <xsd:element minOccurs="0" nillable="true" type="xsd:integer" name="Piscicolidae" form="unqualified"/>
                        <xsd:element minOccurs="0" nillable="true" type="xsd:integer" name="Oligochaeta" form="unqualified"/>
                        <xsd:element minOccurs="0" nillable="true" type="xsd:integer" name="Acroloxidae" form="unqualified"/>
                        <xsd:element minOccurs="0" nillable="true" type="xsd:integer" name="Ancylidae" form="unqualified"/>
                        <xsd:element minOccurs="0" nillable="true" type="xsd:integer" name="Bithyniidae" form="unqualified"/>
                        <xsd:element minOccurs="0" nillable="true" type="xsd:integer" name="Ferrissiidae" form="unqualified"/>
                        <xsd:element minOccurs="0" nillable="true" type="xsd:integer" name="Hydrobiidae" form="unqualified"/>
                        <xsd:element minOccurs="0" nillable="true" type="xsd:integer" name="Lymnaeidae" form="unqualified"/>
                        <xsd:element minOccurs="0" nillable="true" type="xsd:integer" name="Neritidae" form="unqualified"/>
                        <xsd:element minOccurs="0" nillable="true" type="xsd:integer" name="Physidae" form="unqualified"/>
                        <xsd:element minOccurs="0" nillable="true" type="xsd:integer" name="Planorbidae" form="unqualified"/>
                        <xsd:element minOccurs="0" nillable="true" type="xsd:integer" name="Valvatidae" form="unqualified"/>
                        <xsd:element minOccurs="0" nillable="true" type="xsd:integer" name="Viviparidae" form="unqualified"/>
                        <xsd:element minOccurs="0" nillable="true" type="xsd:integer" name="Corbiculidae" form="unqualified"/>
                        <xsd:element minOccurs="0" nillable="true" type="xsd:integer" name="Dreissenidae" form="unqualified"/>
                        <xsd:element minOccurs="0" nillable="true" type="xsd:integer" name="Sphaeriidae" form="unqualified"/>
                        <xsd:element minOccurs="0" nillable="true" type="xsd:integer" name="Unionidae" form="unqualified"/>
                        <xsd:element minOccurs="0" nillable="true" type="xsd:integer" name="Hydracarina" form="unqualified"/>
                        <xsd:element minOccurs="0" nillable="true" type="xsd:integer" name="Branchiopoda" form="unqualified"/>
                        <xsd:element minOccurs="0" nillable="true" type="xsd:integer" name="Corophiidae" form="unqualified"/>
                        <xsd:element minOccurs="0" nillable="true" type="xsd:integer" name="Gammaridae" form="unqualified"/>
                        <xsd:element minOccurs="0" nillable="true" type="xsd:integer" name="Niphargidae" form="unqualified"/>
                        <xsd:element minOccurs="0" nillable="true" type="xsd:integer" name="Asellidae" form="unqualified"/>
                        <xsd:element minOccurs="0" nillable="true" type="xsd:integer" name="Janiridae" form="unqualified"/>
                        <xsd:element minOccurs="0" nillable="true" type="xsd:integer" name="Mysidae" form="unqualified"/>
                        <xsd:element minOccurs="0" nillable="true" type="xsd:integer" name="Astacidae" form="unqualified"/>
                        <xsd:element minOccurs="0" nillable="true" type="xsd:integer" name="Cambaridae" form="unqualified"/>
                        <xsd:element minOccurs="0" nillable="true" type="xsd:integer" name="Ameletidae" form="unqualified"/>
                        <xsd:element minOccurs="0" nillable="true" type="xsd:integer" name="Baetidae" form="unqualified"/>
                        <xsd:element minOccurs="0" nillable="true" type="xsd:integer" name="Caenidae" form="unqualified"/>
                        <xsd:element minOccurs="0" nillable="true" type="xsd:integer" name="Ephemerellidae" form="unqualified"/>
                        <xsd:element minOccurs="0" nillable="true" type="xsd:integer" name="Ephemeridae" form="unqualified"/>
                        <xsd:element minOccurs="0" nillable="true" type="xsd:integer" name="Heptageniidae" form="unqualified"/>
                        <xsd:element minOccurs="0" nillable="true" type="xsd:integer" name="Leptophlebiidae" form="unqualified"/>
                        <xsd:element minOccurs="0" nillable="true" type="xsd:integer" name="Oligoneuriidae" form="unqualified"/>
                        <xsd:element minOccurs="0" nillable="true" type="xsd:integer" name="Polymitarcyidae" form="unqualified"/>
                        <xsd:element minOccurs="0" nillable="true" type="xsd:integer" name="Potamanthidae" form="unqualified"/>
                        <xsd:element minOccurs="0" nillable="true" type="xsd:integer" name="Siphlonuridae" form="unqualified"/>
                        <xsd:element minOccurs="0" nillable="true" type="xsd:integer" name="Aeshnidae" form="unqualified"/>
                        <xsd:element minOccurs="0" nillable="true" type="xsd:integer" name="Calopterygidae" form="unqualified"/>
                        <xsd:element minOccurs="0" nillable="true" type="xsd:integer" name="Coenagrionidae" form="unqualified"/>
                        <xsd:element minOccurs="0" nillable="true" type="xsd:integer" name="Cordulegasteridae" form="unqualified"/>
                        <xsd:element minOccurs="0" nillable="true" type="xsd:integer" name="Corduliidae" form="unqualified"/>
                        <xsd:element minOccurs="0" nillable="true" type="xsd:integer" name="Gomphidae" form="unqualified"/>
                        <xsd:element minOccurs="0" nillable="true" type="xsd:integer" name="Lestidae" form="unqualified"/>
                        <xsd:element minOccurs="0" nillable="true" type="xsd:integer" name="Libellulidae" form="unqualified"/>
                        <xsd:element minOccurs="0" nillable="true" type="xsd:integer" name="Platycnemididae" form="unqualified"/>
                        <xsd:element minOccurs="0" nillable="true" type="xsd:integer" name="Capniidae" form="unqualified"/>
                        <xsd:element minOccurs="0" nillable="true" type="xsd:integer" name="Chloroperlidae" form="unqualified"/>
                        <xsd:element minOccurs="0" nillable="true" type="xsd:integer" name="Leuctridae" form="unqualified"/>
                        <xsd:element minOccurs="0" nillable="true" type="xsd:integer" name="Nemouridae" form="unqualified"/>
                        <xsd:element minOccurs="0" nillable="true" type="xsd:integer" name="Perlidae" form="unqualified"/>
                        <xsd:element minOccurs="0" nillable="true" type="xsd:integer" name="Perlodidae" form="unqualified"/>
                        <xsd:element minOccurs="0" nillable="true" type="xsd:integer" name="Taeniopterygidae" form="unqualified"/>
                        <xsd:element minOccurs="0" nillable="true" type="xsd:integer" name="Aphelocheiridae" form="unqualified"/>
                        <xsd:element minOccurs="0" nillable="true" type="xsd:integer" name="Corixidae" form="unqualified"/>
                        <xsd:element minOccurs="0" nillable="true" type="xsd:integer" name="Gerridae" form="unqualified"/>
                        <xsd:element minOccurs="0" nillable="true" type="xsd:integer" name="Hebridae" form="unqualified"/>
                        <xsd:element minOccurs="0" nillable="true" type="xsd:integer" name="Hydrometridae" form="unqualified"/>
                        <xsd:element minOccurs="0" nillable="true" type="xsd:integer" name="Mesoveliidae" form="unqualified"/>
                        <xsd:element minOccurs="0" nillable="true" type="xsd:integer" name="Naucoridae" form="unqualified"/>
                        <xsd:element minOccurs="0" nillable="true" type="xsd:integer" name="Nepidae" form="unqualified"/>
                        <xsd:element minOccurs="0" nillable="true" type="xsd:integer" name="Notonectidae" form="unqualified"/>
                        <xsd:element minOccurs="0" nillable="true" type="xsd:integer" name="Pleidae" form="unqualified"/>
                        <xsd:element minOccurs="0" nillable="true" type="xsd:integer" name="Veliidae" form="unqualified"/>
                        <xsd:element minOccurs="0" nillable="true" type="xsd:integer" name="Sialidae" form="unqualified"/>
                        <xsd:element minOccurs="0" nillable="true" type="xsd:integer" name="Osmylidae" form="unqualified"/>
                        <xsd:element minOccurs="0" nillable="true" type="xsd:integer" name="Sisyridae" form="unqualified"/>
                        <xsd:element minOccurs="0" nillable="true" type="xsd:integer" name="Curculionidae" form="unqualified"/>
                        <xsd:element minOccurs="0" nillable="true" type="xsd:integer" name="Chrysomelidae" form="unqualified"/>
                        <xsd:element minOccurs="0" nillable="true" type="xsd:integer" name="Dryopidae" form="unqualified"/>
                        <xsd:element minOccurs="0" nillable="true" type="xsd:integer" name="Dytiscidae" form="unqualified"/>
                        <xsd:element minOccurs="0" nillable="true" type="xsd:integer" name="Elmidae" form="unqualified"/>
                        <xsd:element minOccurs="0" nillable="true" type="xsd:integer" name="Gyrinidae" form="unqualified"/>
                        <xsd:element minOccurs="0" nillable="true" type="xsd:integer" name="Haliplidae" form="unqualified"/>
                        <xsd:element minOccurs="0" nillable="true" type="xsd:integer" name="Helophoridae" form="unqualified"/>
                        <xsd:element minOccurs="0" nillable="true" type="xsd:integer" name="Hydraenidae" form="unqualified"/>
                        <xsd:element minOccurs="0" nillable="true" type="xsd:integer" name="Hydrochidae" form="unqualified"/>
                        <xsd:element minOccurs="0" nillable="true" type="xsd:integer" name="Hydrophilidae" form="unqualified"/>
                        <xsd:element minOccurs="0" nillable="true" type="xsd:integer" name="Hydroscaphidae" form="unqualified"/>
                        <xsd:element minOccurs="0" nillable="true" type="xsd:integer" name="Hygrobiidae" form="unqualified"/>
                        <xsd:element minOccurs="0" nillable="true" type="xsd:integer" name="Noteridae" form="unqualified"/>
                        <xsd:element minOccurs="0" nillable="true" type="xsd:integer" name="Psephenidae" form="unqualified"/>
                        <xsd:element minOccurs="0" nillable="true" type="xsd:integer" name="Scirtidae" form="unqualified"/>
                        <xsd:element minOccurs="0" nillable="true" type="xsd:integer" name="Spercheidae" form="unqualified"/>
                        <xsd:element minOccurs="0" nillable="true" type="xsd:integer" name="Hymenoptera" form="unqualified"/>
                        <xsd:element minOccurs="0" nillable="true" type="xsd:integer" name="Apataniidae" form="unqualified"/>
                        <xsd:element minOccurs="0" nillable="true" type="xsd:integer" name="Beraeidae" form="unqualified"/>
                        <xsd:element minOccurs="0" nillable="true" type="xsd:integer" name="Brachycentridae" form="unqualified"/>
                        <xsd:element minOccurs="0" nillable="true" type="xsd:integer" name="Ecnomidae" form="unqualified"/>
                        <xsd:element minOccurs="0" nillable="true" type="xsd:integer" name="Glossosomatidae" form="unqualified"/>
                        <xsd:element minOccurs="0" nillable="true" type="xsd:integer" name="Goeridae" form="unqualified"/>
                        <xsd:element minOccurs="0" nillable="true" type="xsd:integer" name="Helicopsychidae" form="unqualified"/>
                        <xsd:element minOccurs="0" nillable="true" type="xsd:integer" name="Hydropsychidae" form="unqualified"/>
                        <xsd:element minOccurs="0" nillable="true" type="xsd:integer" name="Hydroptilidae" form="unqualified"/>
                        <xsd:element minOccurs="0" nillable="true" type="xsd:integer" name="Lepidostomatidae" form="unqualified"/>
                        <xsd:element minOccurs="0" nillable="true" type="xsd:integer" name="Leptoceridae" form="unqualified"/>
                        <xsd:element minOccurs="0" nillable="true" type="xsd:integer" name="Limnephilidae" form="unqualified"/>
                        <xsd:element minOccurs="0" nillable="true" type="xsd:integer" name="Molannidae" form="unqualified"/>
                        <xsd:element minOccurs="0" nillable="true" type="xsd:integer" name="Odontoceridae" form="unqualified"/>
                        <xsd:element minOccurs="0" nillable="true" type="xsd:integer" name="Philopotamidae" form="unqualified"/>
                        <xsd:element minOccurs="0" nillable="true" type="xsd:integer" name="Phryganeidae" form="unqualified"/>
                        <xsd:element minOccurs="0" nillable="true" type="xsd:integer" name="Polycentropodidae" form="unqualified"/>
                        <xsd:element minOccurs="0" nillable="true" type="xsd:integer" name="Psychomyiidae" form="unqualified"/>
                        <xsd:element minOccurs="0" nillable="true" type="xsd:integer" name="Ptilocolepidae" form="unqualified"/>
                        <xsd:element minOccurs="0" nillable="true" type="xsd:integer" name="Rhyacophilidae" form="unqualified"/>
                        <xsd:element minOccurs="0" nillable="true" type="xsd:integer" name="Sericostomatidae" form="unqualified"/>
                        <xsd:element minOccurs="0" nillable="true" type="xsd:integer" name="Lepidoptera" form="unqualified"/>
                        <xsd:element minOccurs="0" nillable="true" type="xsd:integer" name="Anthomyiidae" form="unqualified"/>
                        <xsd:element minOccurs="0" nillable="true" type="xsd:integer" name="Athericidae" form="unqualified"/>
                        <xsd:element minOccurs="0" nillable="true" type="xsd:integer" name="Blephariceridae" form="unqualified"/>
                        <xsd:element minOccurs="0" nillable="true" type="xsd:integer" name="Ceratopogonidae" form="unqualified"/>
                        <xsd:element minOccurs="0" nillable="true" type="xsd:integer" name="Chaoboridae" form="unqualified"/>
                        <xsd:element minOccurs="0" nillable="true" type="xsd:integer" name="Chironomidae" form="unqualified"/>
                        <xsd:element minOccurs="0" nillable="true" type="xsd:integer" name="Culicidae" form="unqualified"/>
                        <xsd:element minOccurs="0" nillable="true" type="xsd:integer" name="Cylindrotomidae" form="unqualified"/>
                        <xsd:element minOccurs="0" nillable="true" type="xsd:integer" name="Dixidae" form="unqualified"/>
                        <xsd:element minOccurs="0" nillable="true" type="xsd:integer" name="Dolichopodidae" form="unqualified"/>
                        <xsd:element minOccurs="0" nillable="true" type="xsd:integer" name="Empididae" form="unqualified"/>
                        <xsd:element minOccurs="0" nillable="true" type="xsd:integer" name="Ephydridae" form="unqualified"/>
                        <xsd:element minOccurs="0" nillable="true" type="xsd:integer" name="Limoniidae" form="unqualified"/>
                        <xsd:element minOccurs="0" nillable="true" type="xsd:integer" name="Psychodidae" form="unqualified"/>
                        <xsd:element minOccurs="0" nillable="true" type="xsd:integer" name="Ptychopteridae" form="unqualified"/>
                        <xsd:element minOccurs="0" nillable="true" type="xsd:integer" name="Rhagionidae" form="unqualified"/>
                        <xsd:element minOccurs="0" nillable="true" type="xsd:integer" name="Scatophagidae" form="unqualified"/>
                        <xsd:element minOccurs="0" nillable="true" type="xsd:integer" name="Sciomyzidae" form="unqualified"/>
                        <xsd:element minOccurs="0" nillable="true" type="xsd:integer" name="Simuliidae" form="unqualified"/>
                        <xsd:element minOccurs="0" nillable="true" type="xsd:integer" name="Stratiomyidae" form="unqualified"/>
                        <xsd:element minOccurs="0" nillable="true" type="xsd:integer" name="Syrphidae" form="unqualified"/>
                        <xsd:element minOccurs="0" nillable="true" type="xsd:integer" name="Tabanidae" form="unqualified"/>
                        <xsd:element minOccurs="0" nillable="true" type="xsd:integer" name="Thaumaleidae" form="unqualified"/>
                        <xsd:element minOccurs="0" nillable="true" type="xsd:integer" name="Tipulidae" form="un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3" Name="Root_Mappage" RootElement="Root" SchemaID="Schema3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xmlMaps" Target="xmlMap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68"/>
  <sheetViews>
    <sheetView tabSelected="1" view="pageBreakPreview" zoomScale="80" zoomScaleSheetLayoutView="80" zoomScalePageLayoutView="0" workbookViewId="0" topLeftCell="A1">
      <selection activeCell="AR92" sqref="AR92"/>
    </sheetView>
  </sheetViews>
  <sheetFormatPr defaultColWidth="11.421875" defaultRowHeight="12.75"/>
  <cols>
    <col min="1" max="1" width="2.421875" style="45" customWidth="1"/>
    <col min="2" max="2" width="16.7109375" style="45" customWidth="1"/>
    <col min="3" max="4" width="2.7109375" style="45" customWidth="1"/>
    <col min="5" max="5" width="12.7109375" style="45" customWidth="1"/>
    <col min="6" max="6" width="2.7109375" style="45" customWidth="1"/>
    <col min="7" max="7" width="2.7109375" style="45" hidden="1" customWidth="1"/>
    <col min="8" max="11" width="2.7109375" style="45" customWidth="1"/>
    <col min="12" max="12" width="9.7109375" style="45" customWidth="1"/>
    <col min="13" max="13" width="10.57421875" style="45" customWidth="1"/>
    <col min="14" max="14" width="2.7109375" style="45" customWidth="1"/>
    <col min="15" max="16" width="2.7109375" style="45" hidden="1" customWidth="1"/>
    <col min="17" max="17" width="2.7109375" style="45" customWidth="1"/>
    <col min="18" max="18" width="2.421875" style="45" customWidth="1"/>
    <col min="19" max="19" width="16.7109375" style="45" customWidth="1"/>
    <col min="20" max="20" width="3.28125" style="45" customWidth="1"/>
    <col min="21" max="21" width="2.7109375" style="45" customWidth="1"/>
    <col min="22" max="22" width="12.7109375" style="45" customWidth="1"/>
    <col min="23" max="23" width="2.7109375" style="45" customWidth="1"/>
    <col min="24" max="24" width="2.7109375" style="45" hidden="1" customWidth="1"/>
    <col min="25" max="28" width="2.7109375" style="45" customWidth="1"/>
    <col min="29" max="30" width="9.7109375" style="45" customWidth="1"/>
    <col min="31" max="33" width="11.421875" style="45" hidden="1" customWidth="1"/>
    <col min="34" max="43" width="5.7109375" style="45" hidden="1" customWidth="1"/>
    <col min="44" max="16384" width="11.421875" style="45" customWidth="1"/>
  </cols>
  <sheetData>
    <row r="1" spans="1:43" s="11" customFormat="1" ht="35.25" customHeight="1">
      <c r="A1" s="1" t="s">
        <v>157</v>
      </c>
      <c r="B1" s="2"/>
      <c r="C1" s="2"/>
      <c r="D1" s="2"/>
      <c r="E1" s="2"/>
      <c r="F1" s="2"/>
      <c r="G1" s="2"/>
      <c r="H1" s="3"/>
      <c r="I1" s="3"/>
      <c r="J1" s="3"/>
      <c r="K1" s="3"/>
      <c r="L1" s="4"/>
      <c r="M1" s="63" t="s">
        <v>159</v>
      </c>
      <c r="N1" s="5"/>
      <c r="O1" s="5"/>
      <c r="P1" s="5"/>
      <c r="Q1" s="6"/>
      <c r="R1" s="7"/>
      <c r="S1" s="8"/>
      <c r="T1" s="7"/>
      <c r="U1" s="9"/>
      <c r="V1" s="9"/>
      <c r="W1" s="9"/>
      <c r="X1" s="9"/>
      <c r="Y1" s="10" t="s">
        <v>75</v>
      </c>
      <c r="Z1" s="131"/>
      <c r="AA1" s="131"/>
      <c r="AB1" s="131"/>
      <c r="AC1" s="131"/>
      <c r="AD1" s="131"/>
      <c r="AE1" s="45"/>
      <c r="AF1" s="45"/>
      <c r="AH1" s="45"/>
      <c r="AI1" s="45"/>
      <c r="AJ1" s="45"/>
      <c r="AM1" s="45"/>
      <c r="AN1" s="45"/>
      <c r="AO1" s="45"/>
      <c r="AP1" s="45"/>
      <c r="AQ1" s="45"/>
    </row>
    <row r="2" spans="1:43" s="13" customFormat="1" ht="4.5" customHeight="1">
      <c r="A2" s="12"/>
      <c r="C2" s="14"/>
      <c r="D2" s="14"/>
      <c r="E2" s="14"/>
      <c r="F2" s="14"/>
      <c r="G2" s="14"/>
      <c r="H2" s="14"/>
      <c r="I2" s="14"/>
      <c r="J2" s="14"/>
      <c r="K2" s="14"/>
      <c r="L2" s="15"/>
      <c r="M2" s="15"/>
      <c r="N2" s="15"/>
      <c r="O2" s="15"/>
      <c r="P2" s="15"/>
      <c r="Q2" s="16"/>
      <c r="U2" s="17"/>
      <c r="V2" s="17"/>
      <c r="W2" s="17"/>
      <c r="X2" s="17"/>
      <c r="Y2" s="17"/>
      <c r="Z2" s="15"/>
      <c r="AA2" s="17"/>
      <c r="AB2" s="12"/>
      <c r="AE2" s="45"/>
      <c r="AF2" s="45"/>
      <c r="AH2" s="45"/>
      <c r="AI2" s="45"/>
      <c r="AJ2" s="45"/>
      <c r="AM2" s="45"/>
      <c r="AN2" s="45"/>
      <c r="AO2" s="45"/>
      <c r="AP2" s="45"/>
      <c r="AQ2" s="45"/>
    </row>
    <row r="3" spans="1:43" s="13" customFormat="1" ht="19.5" customHeight="1">
      <c r="A3" s="18"/>
      <c r="B3" s="64" t="s">
        <v>160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64" t="s">
        <v>162</v>
      </c>
      <c r="N3" s="136"/>
      <c r="O3" s="137"/>
      <c r="P3" s="137"/>
      <c r="Q3" s="137"/>
      <c r="R3" s="137"/>
      <c r="S3" s="137"/>
      <c r="Y3" s="64" t="s">
        <v>164</v>
      </c>
      <c r="AC3" s="73"/>
      <c r="AD3" s="74"/>
      <c r="AE3" s="45"/>
      <c r="AF3" s="45"/>
      <c r="AH3" s="45"/>
      <c r="AI3" s="45"/>
      <c r="AJ3" s="45"/>
      <c r="AM3" s="45"/>
      <c r="AN3" s="45"/>
      <c r="AO3" s="45"/>
      <c r="AP3" s="45"/>
      <c r="AQ3" s="45"/>
    </row>
    <row r="4" spans="1:43" s="13" customFormat="1" ht="4.5" customHeight="1">
      <c r="A4" s="18"/>
      <c r="B4" s="65"/>
      <c r="M4" s="66"/>
      <c r="N4" s="15"/>
      <c r="O4" s="15"/>
      <c r="P4" s="15"/>
      <c r="Y4" s="66"/>
      <c r="AE4" s="45"/>
      <c r="AF4" s="45"/>
      <c r="AH4" s="45"/>
      <c r="AI4" s="45"/>
      <c r="AJ4" s="45"/>
      <c r="AM4" s="45"/>
      <c r="AN4" s="45"/>
      <c r="AO4" s="45"/>
      <c r="AP4" s="45"/>
      <c r="AQ4" s="45"/>
    </row>
    <row r="5" spans="1:32" s="13" customFormat="1" ht="19.5" customHeight="1">
      <c r="A5" s="18"/>
      <c r="B5" s="64" t="s">
        <v>161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67" t="s">
        <v>163</v>
      </c>
      <c r="N5" s="137"/>
      <c r="O5" s="137"/>
      <c r="P5" s="137"/>
      <c r="Q5" s="137"/>
      <c r="R5" s="137"/>
      <c r="S5" s="137"/>
      <c r="T5" s="12"/>
      <c r="U5" s="17"/>
      <c r="V5" s="17"/>
      <c r="W5" s="17"/>
      <c r="X5" s="17"/>
      <c r="Y5" s="64" t="s">
        <v>167</v>
      </c>
      <c r="Z5" s="135"/>
      <c r="AA5" s="135"/>
      <c r="AB5" s="135"/>
      <c r="AC5" s="135"/>
      <c r="AD5" s="135"/>
      <c r="AE5" s="45"/>
      <c r="AF5" s="45"/>
    </row>
    <row r="6" spans="1:43" s="13" customFormat="1" ht="4.5" customHeight="1">
      <c r="A6" s="18"/>
      <c r="B6" s="17"/>
      <c r="C6" s="19"/>
      <c r="D6" s="19"/>
      <c r="E6" s="19"/>
      <c r="F6" s="19"/>
      <c r="G6" s="19"/>
      <c r="H6" s="19"/>
      <c r="I6" s="19"/>
      <c r="J6" s="19"/>
      <c r="K6" s="19"/>
      <c r="L6" s="19"/>
      <c r="M6" s="15"/>
      <c r="N6" s="15"/>
      <c r="O6" s="15"/>
      <c r="P6" s="15"/>
      <c r="T6" s="12"/>
      <c r="U6" s="17"/>
      <c r="V6" s="17"/>
      <c r="W6" s="17"/>
      <c r="X6" s="17"/>
      <c r="Y6" s="15"/>
      <c r="AE6" s="45"/>
      <c r="AF6" s="45"/>
      <c r="AH6" s="45"/>
      <c r="AI6" s="45"/>
      <c r="AJ6" s="45"/>
      <c r="AM6" s="45"/>
      <c r="AN6" s="45"/>
      <c r="AO6" s="45"/>
      <c r="AP6" s="45"/>
      <c r="AQ6" s="45"/>
    </row>
    <row r="7" spans="1:40" s="23" customFormat="1" ht="13.5" customHeight="1">
      <c r="A7" s="20" t="s">
        <v>165</v>
      </c>
      <c r="B7" s="20"/>
      <c r="C7" s="21"/>
      <c r="D7" s="21"/>
      <c r="E7" s="21"/>
      <c r="F7" s="21"/>
      <c r="G7" s="21"/>
      <c r="H7" s="21"/>
      <c r="I7" s="21"/>
      <c r="J7" s="21"/>
      <c r="K7" s="21"/>
      <c r="L7" s="22"/>
      <c r="M7" s="22"/>
      <c r="N7" s="22"/>
      <c r="O7" s="22"/>
      <c r="P7" s="22"/>
      <c r="Q7" s="20"/>
      <c r="R7" s="20"/>
      <c r="S7" s="20"/>
      <c r="T7" s="21"/>
      <c r="U7" s="21"/>
      <c r="V7" s="21"/>
      <c r="W7" s="21"/>
      <c r="X7" s="21"/>
      <c r="Y7" s="89" t="s">
        <v>189</v>
      </c>
      <c r="Z7" s="138"/>
      <c r="AA7" s="138"/>
      <c r="AB7" s="138"/>
      <c r="AC7" s="88" t="s">
        <v>188</v>
      </c>
      <c r="AD7" s="21">
        <f>IF($Z7&lt;&gt;"",IF(VLOOKUP($Z7,$Z$102:$AD$118,5,FALSE)&lt;&gt;"",VLOOKUP($Z7,$Z$102:$AD$118,5,FALSE),""),"")</f>
      </c>
      <c r="AH7" s="46" t="s">
        <v>274</v>
      </c>
      <c r="AI7" s="119"/>
      <c r="AJ7" s="46" t="s">
        <v>275</v>
      </c>
      <c r="AN7" s="46" t="s">
        <v>276</v>
      </c>
    </row>
    <row r="8" spans="3:43" s="24" customFormat="1" ht="6" customHeight="1">
      <c r="C8" s="25"/>
      <c r="D8" s="47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T8" s="25"/>
      <c r="U8" s="47"/>
      <c r="V8" s="25"/>
      <c r="W8" s="25"/>
      <c r="X8" s="25"/>
      <c r="Y8" s="25"/>
      <c r="Z8" s="25"/>
      <c r="AA8" s="25"/>
      <c r="AB8" s="25"/>
      <c r="AC8" s="25"/>
      <c r="AD8" s="25"/>
      <c r="AE8" s="23"/>
      <c r="AF8" s="23"/>
      <c r="AH8" s="23"/>
      <c r="AI8" s="23"/>
      <c r="AJ8" s="23"/>
      <c r="AM8" s="23"/>
      <c r="AN8" s="23"/>
      <c r="AO8" s="23"/>
      <c r="AP8" s="23"/>
      <c r="AQ8" s="23"/>
    </row>
    <row r="9" spans="1:43" s="26" customFormat="1" ht="13.5" customHeight="1">
      <c r="A9" s="24" t="s">
        <v>78</v>
      </c>
      <c r="E9" s="27"/>
      <c r="F9" s="28"/>
      <c r="G9" s="29">
        <f>IF(E9&lt;&gt;0,E9,"")</f>
      </c>
      <c r="H9" s="29"/>
      <c r="I9" s="29"/>
      <c r="J9" s="29"/>
      <c r="K9" s="29"/>
      <c r="L9" s="29"/>
      <c r="M9" s="29"/>
      <c r="N9" s="30"/>
      <c r="O9" s="30">
        <f>D9</f>
        <v>0</v>
      </c>
      <c r="P9" s="26">
        <f>U9</f>
        <v>0</v>
      </c>
      <c r="R9" s="24" t="s">
        <v>151</v>
      </c>
      <c r="V9" s="31"/>
      <c r="W9" s="69"/>
      <c r="X9" s="69"/>
      <c r="Y9" s="69"/>
      <c r="Z9" s="69"/>
      <c r="AA9" s="69"/>
      <c r="AB9" s="69"/>
      <c r="AC9" s="69"/>
      <c r="AD9" s="69"/>
      <c r="AE9" s="45"/>
      <c r="AF9" s="45"/>
      <c r="AH9" s="120"/>
      <c r="AI9" s="45"/>
      <c r="AJ9" s="45"/>
      <c r="AL9" s="46" t="s">
        <v>277</v>
      </c>
      <c r="AM9" s="23"/>
      <c r="AN9" s="45"/>
      <c r="AO9" s="45"/>
      <c r="AP9" s="45"/>
      <c r="AQ9" s="45"/>
    </row>
    <row r="10" spans="1:43" s="26" customFormat="1" ht="13.5" customHeight="1">
      <c r="A10" s="24" t="s">
        <v>79</v>
      </c>
      <c r="E10" s="27"/>
      <c r="F10" s="28"/>
      <c r="G10" s="29">
        <f aca="true" t="shared" si="0" ref="G10:G73">IF(E10&lt;&gt;0,E10,"")</f>
      </c>
      <c r="H10" s="29"/>
      <c r="I10" s="29"/>
      <c r="J10" s="29"/>
      <c r="K10" s="29"/>
      <c r="L10" s="76" t="s">
        <v>174</v>
      </c>
      <c r="M10" s="75"/>
      <c r="N10" s="30"/>
      <c r="O10" s="30">
        <f aca="true" t="shared" si="1" ref="O10:O73">D10</f>
        <v>0</v>
      </c>
      <c r="P10" s="26">
        <f aca="true" t="shared" si="2" ref="P10:P73">U10</f>
      </c>
      <c r="S10" s="26" t="s">
        <v>1</v>
      </c>
      <c r="U10" s="26">
        <f>IF(V10&gt;2,3,"")</f>
      </c>
      <c r="V10" s="27"/>
      <c r="W10" s="28"/>
      <c r="X10" s="29">
        <f aca="true" t="shared" si="3" ref="X10:X73">IF(V10&lt;&gt;0,V10,"")</f>
      </c>
      <c r="Y10" s="29"/>
      <c r="Z10" s="29"/>
      <c r="AA10" s="29"/>
      <c r="AB10" s="29"/>
      <c r="AC10" s="29"/>
      <c r="AD10" s="29"/>
      <c r="AE10" s="45"/>
      <c r="AF10" s="45"/>
      <c r="AH10" s="120"/>
      <c r="AI10" s="120">
        <v>0</v>
      </c>
      <c r="AJ10" s="121"/>
      <c r="AK10" s="121" t="e">
        <f>LOG(4*X10+1)*AI10</f>
        <v>#VALUE!</v>
      </c>
      <c r="AL10" s="121"/>
      <c r="AM10" s="121" t="e">
        <f>LOG(4*X10+1)</f>
        <v>#VALUE!</v>
      </c>
      <c r="AN10" s="121">
        <f aca="true" t="shared" si="4" ref="AN10:AQ73">IF(TYPE(AJ10)=1,IF(AJ10&gt;=0,AJ10,""),"")</f>
        <v>0</v>
      </c>
      <c r="AO10" s="121">
        <f t="shared" si="4"/>
      </c>
      <c r="AP10" s="121">
        <f t="shared" si="4"/>
        <v>0</v>
      </c>
      <c r="AQ10" s="121">
        <f t="shared" si="4"/>
      </c>
    </row>
    <row r="11" spans="1:43" s="24" customFormat="1" ht="13.5" customHeight="1">
      <c r="A11" s="24" t="s">
        <v>80</v>
      </c>
      <c r="B11" s="26"/>
      <c r="E11" s="27"/>
      <c r="F11" s="28"/>
      <c r="G11" s="29">
        <f t="shared" si="0"/>
      </c>
      <c r="H11" s="29"/>
      <c r="I11" s="29"/>
      <c r="J11" s="29"/>
      <c r="K11" s="29"/>
      <c r="L11" s="29"/>
      <c r="M11" s="29"/>
      <c r="N11" s="32"/>
      <c r="O11" s="30">
        <f t="shared" si="1"/>
        <v>0</v>
      </c>
      <c r="P11" s="26">
        <f t="shared" si="2"/>
        <v>0</v>
      </c>
      <c r="R11" s="26"/>
      <c r="S11" s="26" t="s">
        <v>2</v>
      </c>
      <c r="T11" s="26"/>
      <c r="V11" s="27"/>
      <c r="W11" s="28"/>
      <c r="X11" s="29">
        <f t="shared" si="3"/>
      </c>
      <c r="Y11" s="29"/>
      <c r="Z11" s="29"/>
      <c r="AA11" s="29"/>
      <c r="AB11" s="29"/>
      <c r="AC11" s="29"/>
      <c r="AD11" s="29"/>
      <c r="AE11" s="23"/>
      <c r="AF11" s="23"/>
      <c r="AH11" s="120"/>
      <c r="AI11" s="120">
        <v>0</v>
      </c>
      <c r="AJ11" s="122"/>
      <c r="AK11" s="121" t="e">
        <f aca="true" t="shared" si="5" ref="AK11:AK19">LOG(4*X11+1)*AI11</f>
        <v>#VALUE!</v>
      </c>
      <c r="AL11" s="123"/>
      <c r="AM11" s="121" t="e">
        <f aca="true" t="shared" si="6" ref="AM11:AM19">LOG(4*X11+1)</f>
        <v>#VALUE!</v>
      </c>
      <c r="AN11" s="121">
        <f t="shared" si="4"/>
        <v>0</v>
      </c>
      <c r="AO11" s="121">
        <f t="shared" si="4"/>
      </c>
      <c r="AP11" s="121">
        <f t="shared" si="4"/>
        <v>0</v>
      </c>
      <c r="AQ11" s="121">
        <f t="shared" si="4"/>
      </c>
    </row>
    <row r="12" spans="1:43" s="24" customFormat="1" ht="13.5" customHeight="1">
      <c r="A12" s="33"/>
      <c r="B12" s="34"/>
      <c r="C12" s="33"/>
      <c r="D12" s="33"/>
      <c r="E12" s="34"/>
      <c r="F12" s="33"/>
      <c r="G12" s="33">
        <f t="shared" si="0"/>
      </c>
      <c r="H12" s="33"/>
      <c r="I12" s="33"/>
      <c r="J12" s="33"/>
      <c r="K12" s="33"/>
      <c r="L12" s="33"/>
      <c r="M12" s="33"/>
      <c r="N12" s="32"/>
      <c r="O12" s="30">
        <f t="shared" si="1"/>
        <v>0</v>
      </c>
      <c r="P12" s="26">
        <f t="shared" si="2"/>
        <v>0</v>
      </c>
      <c r="R12" s="26"/>
      <c r="S12" s="26" t="s">
        <v>3</v>
      </c>
      <c r="T12" s="35"/>
      <c r="V12" s="27"/>
      <c r="W12" s="28"/>
      <c r="X12" s="29">
        <f t="shared" si="3"/>
      </c>
      <c r="Y12" s="29"/>
      <c r="Z12" s="29"/>
      <c r="AA12" s="29"/>
      <c r="AB12" s="29"/>
      <c r="AC12" s="29"/>
      <c r="AD12" s="29"/>
      <c r="AE12" s="23"/>
      <c r="AF12" s="23"/>
      <c r="AH12" s="120"/>
      <c r="AI12" s="120">
        <v>0</v>
      </c>
      <c r="AJ12" s="122"/>
      <c r="AK12" s="121" t="e">
        <f t="shared" si="5"/>
        <v>#VALUE!</v>
      </c>
      <c r="AL12" s="123"/>
      <c r="AM12" s="121" t="e">
        <f t="shared" si="6"/>
        <v>#VALUE!</v>
      </c>
      <c r="AN12" s="121">
        <f t="shared" si="4"/>
        <v>0</v>
      </c>
      <c r="AO12" s="121">
        <f t="shared" si="4"/>
      </c>
      <c r="AP12" s="121">
        <f t="shared" si="4"/>
        <v>0</v>
      </c>
      <c r="AQ12" s="121">
        <f t="shared" si="4"/>
      </c>
    </row>
    <row r="13" spans="1:43" s="26" customFormat="1" ht="13.5" customHeight="1">
      <c r="A13" s="24" t="s">
        <v>81</v>
      </c>
      <c r="F13" s="109"/>
      <c r="G13" s="109">
        <f t="shared" si="0"/>
      </c>
      <c r="H13" s="109"/>
      <c r="I13" s="109"/>
      <c r="J13" s="109"/>
      <c r="K13" s="109"/>
      <c r="L13" s="109"/>
      <c r="M13" s="109"/>
      <c r="N13" s="30"/>
      <c r="O13" s="30">
        <f t="shared" si="1"/>
        <v>0</v>
      </c>
      <c r="P13" s="26">
        <f t="shared" si="2"/>
        <v>0</v>
      </c>
      <c r="S13" s="26" t="s">
        <v>5</v>
      </c>
      <c r="V13" s="27"/>
      <c r="W13" s="28"/>
      <c r="X13" s="29">
        <f t="shared" si="3"/>
      </c>
      <c r="Y13" s="29"/>
      <c r="Z13" s="29"/>
      <c r="AA13" s="29"/>
      <c r="AB13" s="29"/>
      <c r="AC13" s="29"/>
      <c r="AD13" s="29"/>
      <c r="AE13" s="45"/>
      <c r="AF13" s="45"/>
      <c r="AH13" s="120"/>
      <c r="AI13" s="120">
        <v>0</v>
      </c>
      <c r="AJ13" s="121"/>
      <c r="AK13" s="121" t="e">
        <f t="shared" si="5"/>
        <v>#VALUE!</v>
      </c>
      <c r="AL13" s="124"/>
      <c r="AM13" s="121" t="e">
        <f t="shared" si="6"/>
        <v>#VALUE!</v>
      </c>
      <c r="AN13" s="121">
        <f t="shared" si="4"/>
        <v>0</v>
      </c>
      <c r="AO13" s="121">
        <f t="shared" si="4"/>
      </c>
      <c r="AP13" s="121">
        <f t="shared" si="4"/>
        <v>0</v>
      </c>
      <c r="AQ13" s="121">
        <f t="shared" si="4"/>
      </c>
    </row>
    <row r="14" spans="1:43" s="26" customFormat="1" ht="13.5" customHeight="1">
      <c r="A14" s="24"/>
      <c r="B14" s="26" t="s">
        <v>82</v>
      </c>
      <c r="E14" s="27"/>
      <c r="F14" s="28"/>
      <c r="G14" s="29">
        <f t="shared" si="0"/>
      </c>
      <c r="H14" s="29"/>
      <c r="I14" s="29"/>
      <c r="J14" s="29"/>
      <c r="K14" s="29"/>
      <c r="L14" s="29"/>
      <c r="M14" s="29"/>
      <c r="N14" s="30"/>
      <c r="O14" s="30">
        <f t="shared" si="1"/>
        <v>0</v>
      </c>
      <c r="P14" s="26">
        <f t="shared" si="2"/>
        <v>0</v>
      </c>
      <c r="S14" s="26" t="s">
        <v>6</v>
      </c>
      <c r="V14" s="27"/>
      <c r="W14" s="28"/>
      <c r="X14" s="29">
        <f t="shared" si="3"/>
      </c>
      <c r="Y14" s="29"/>
      <c r="Z14" s="29"/>
      <c r="AA14" s="29"/>
      <c r="AB14" s="29"/>
      <c r="AC14" s="29"/>
      <c r="AD14" s="29"/>
      <c r="AE14" s="45"/>
      <c r="AF14" s="45"/>
      <c r="AH14" s="120">
        <v>0</v>
      </c>
      <c r="AI14" s="120">
        <v>0</v>
      </c>
      <c r="AJ14" s="121" t="e">
        <f>LOG(4*G14+1)*AH14</f>
        <v>#VALUE!</v>
      </c>
      <c r="AK14" s="121" t="e">
        <f t="shared" si="5"/>
        <v>#VALUE!</v>
      </c>
      <c r="AL14" s="121" t="e">
        <f>LOG(4*G14+1)</f>
        <v>#VALUE!</v>
      </c>
      <c r="AM14" s="121" t="e">
        <f t="shared" si="6"/>
        <v>#VALUE!</v>
      </c>
      <c r="AN14" s="121">
        <f t="shared" si="4"/>
      </c>
      <c r="AO14" s="121">
        <f t="shared" si="4"/>
      </c>
      <c r="AP14" s="121">
        <f t="shared" si="4"/>
      </c>
      <c r="AQ14" s="121">
        <f t="shared" si="4"/>
      </c>
    </row>
    <row r="15" spans="1:43" s="26" customFormat="1" ht="13.5" customHeight="1">
      <c r="A15" s="24"/>
      <c r="B15" s="26" t="s">
        <v>83</v>
      </c>
      <c r="E15" s="27"/>
      <c r="F15" s="28"/>
      <c r="G15" s="29">
        <f t="shared" si="0"/>
      </c>
      <c r="H15" s="29"/>
      <c r="I15" s="29"/>
      <c r="J15" s="29"/>
      <c r="K15" s="29"/>
      <c r="L15" s="76" t="s">
        <v>186</v>
      </c>
      <c r="M15" s="75"/>
      <c r="N15" s="30"/>
      <c r="O15" s="30">
        <f t="shared" si="1"/>
        <v>0</v>
      </c>
      <c r="P15" s="26">
        <f t="shared" si="2"/>
        <v>0</v>
      </c>
      <c r="S15" s="26" t="s">
        <v>7</v>
      </c>
      <c r="T15" s="24"/>
      <c r="V15" s="27"/>
      <c r="W15" s="28"/>
      <c r="X15" s="29">
        <f t="shared" si="3"/>
      </c>
      <c r="Y15" s="29"/>
      <c r="Z15" s="29"/>
      <c r="AA15" s="29"/>
      <c r="AB15" s="29"/>
      <c r="AC15" s="29"/>
      <c r="AD15" s="29"/>
      <c r="AE15" s="45"/>
      <c r="AF15" s="45"/>
      <c r="AH15" s="120">
        <v>0</v>
      </c>
      <c r="AI15" s="120">
        <v>0</v>
      </c>
      <c r="AJ15" s="121" t="e">
        <f>LOG(4*G15+1)*AH15</f>
        <v>#VALUE!</v>
      </c>
      <c r="AK15" s="121" t="e">
        <f t="shared" si="5"/>
        <v>#VALUE!</v>
      </c>
      <c r="AL15" s="121" t="e">
        <f>LOG(4*G15+1)</f>
        <v>#VALUE!</v>
      </c>
      <c r="AM15" s="121" t="e">
        <f t="shared" si="6"/>
        <v>#VALUE!</v>
      </c>
      <c r="AN15" s="121">
        <f t="shared" si="4"/>
      </c>
      <c r="AO15" s="121">
        <f t="shared" si="4"/>
      </c>
      <c r="AP15" s="121">
        <f t="shared" si="4"/>
      </c>
      <c r="AQ15" s="121">
        <f t="shared" si="4"/>
      </c>
    </row>
    <row r="16" spans="2:43" s="26" customFormat="1" ht="13.5" customHeight="1">
      <c r="B16" s="26" t="s">
        <v>84</v>
      </c>
      <c r="E16" s="27"/>
      <c r="F16" s="28"/>
      <c r="G16" s="29">
        <f t="shared" si="0"/>
      </c>
      <c r="H16" s="29"/>
      <c r="I16" s="29"/>
      <c r="J16" s="29"/>
      <c r="K16" s="29"/>
      <c r="L16" s="29"/>
      <c r="M16" s="29"/>
      <c r="N16" s="30"/>
      <c r="O16" s="30">
        <f t="shared" si="1"/>
        <v>0</v>
      </c>
      <c r="P16" s="26">
        <f t="shared" si="2"/>
        <v>0</v>
      </c>
      <c r="S16" s="26" t="s">
        <v>8</v>
      </c>
      <c r="V16" s="27"/>
      <c r="W16" s="28"/>
      <c r="X16" s="29">
        <f t="shared" si="3"/>
      </c>
      <c r="Y16" s="29"/>
      <c r="Z16" s="29"/>
      <c r="AA16" s="29"/>
      <c r="AB16" s="29"/>
      <c r="AC16" s="29"/>
      <c r="AD16" s="29"/>
      <c r="AE16" s="45"/>
      <c r="AF16" s="45"/>
      <c r="AH16" s="120">
        <v>0</v>
      </c>
      <c r="AI16" s="120">
        <v>0</v>
      </c>
      <c r="AJ16" s="121" t="e">
        <f>LOG(4*G16+1)*AH16</f>
        <v>#VALUE!</v>
      </c>
      <c r="AK16" s="121" t="e">
        <f t="shared" si="5"/>
        <v>#VALUE!</v>
      </c>
      <c r="AL16" s="121" t="e">
        <f>LOG(4*G16+1)</f>
        <v>#VALUE!</v>
      </c>
      <c r="AM16" s="121" t="e">
        <f t="shared" si="6"/>
        <v>#VALUE!</v>
      </c>
      <c r="AN16" s="121">
        <f t="shared" si="4"/>
      </c>
      <c r="AO16" s="121">
        <f t="shared" si="4"/>
      </c>
      <c r="AP16" s="121">
        <f t="shared" si="4"/>
      </c>
      <c r="AQ16" s="121">
        <f t="shared" si="4"/>
      </c>
    </row>
    <row r="17" spans="1:43" s="26" customFormat="1" ht="13.5" customHeight="1">
      <c r="A17" s="24" t="s">
        <v>85</v>
      </c>
      <c r="E17" s="27"/>
      <c r="F17" s="28"/>
      <c r="G17" s="29">
        <f t="shared" si="0"/>
      </c>
      <c r="H17" s="29"/>
      <c r="I17" s="29"/>
      <c r="J17" s="29"/>
      <c r="K17" s="29"/>
      <c r="L17" s="29"/>
      <c r="M17" s="29"/>
      <c r="N17" s="30"/>
      <c r="O17" s="30">
        <f t="shared" si="1"/>
        <v>0</v>
      </c>
      <c r="P17" s="26">
        <f t="shared" si="2"/>
        <v>0</v>
      </c>
      <c r="S17" s="26" t="s">
        <v>10</v>
      </c>
      <c r="V17" s="27"/>
      <c r="W17" s="28"/>
      <c r="X17" s="29">
        <f t="shared" si="3"/>
      </c>
      <c r="Y17" s="29"/>
      <c r="Z17" s="29"/>
      <c r="AA17" s="29"/>
      <c r="AB17" s="29"/>
      <c r="AC17" s="29"/>
      <c r="AD17" s="29"/>
      <c r="AE17" s="45"/>
      <c r="AF17" s="45"/>
      <c r="AH17" s="120"/>
      <c r="AI17" s="120">
        <v>0</v>
      </c>
      <c r="AJ17" s="121"/>
      <c r="AK17" s="121" t="e">
        <f t="shared" si="5"/>
        <v>#VALUE!</v>
      </c>
      <c r="AL17" s="124"/>
      <c r="AM17" s="121" t="e">
        <f t="shared" si="6"/>
        <v>#VALUE!</v>
      </c>
      <c r="AN17" s="121">
        <f t="shared" si="4"/>
        <v>0</v>
      </c>
      <c r="AO17" s="121">
        <f t="shared" si="4"/>
      </c>
      <c r="AP17" s="121">
        <f t="shared" si="4"/>
        <v>0</v>
      </c>
      <c r="AQ17" s="121">
        <f t="shared" si="4"/>
      </c>
    </row>
    <row r="18" spans="3:43" s="26" customFormat="1" ht="13.5" customHeight="1">
      <c r="C18" s="34"/>
      <c r="D18" s="34"/>
      <c r="E18" s="36"/>
      <c r="F18" s="34"/>
      <c r="G18" s="34">
        <f t="shared" si="0"/>
      </c>
      <c r="H18" s="34"/>
      <c r="I18" s="34"/>
      <c r="J18" s="34"/>
      <c r="K18" s="34"/>
      <c r="L18" s="34"/>
      <c r="M18" s="34"/>
      <c r="N18" s="30"/>
      <c r="O18" s="30">
        <f t="shared" si="1"/>
        <v>0</v>
      </c>
      <c r="P18" s="26">
        <f t="shared" si="2"/>
        <v>0</v>
      </c>
      <c r="S18" s="26" t="s">
        <v>11</v>
      </c>
      <c r="V18" s="27"/>
      <c r="W18" s="28"/>
      <c r="X18" s="29">
        <f t="shared" si="3"/>
      </c>
      <c r="Y18" s="29"/>
      <c r="Z18" s="29"/>
      <c r="AA18" s="29"/>
      <c r="AB18" s="29"/>
      <c r="AC18" s="29"/>
      <c r="AD18" s="29"/>
      <c r="AE18" s="45"/>
      <c r="AF18" s="45"/>
      <c r="AH18" s="120"/>
      <c r="AI18" s="120">
        <v>0</v>
      </c>
      <c r="AJ18" s="121"/>
      <c r="AK18" s="121" t="e">
        <f t="shared" si="5"/>
        <v>#VALUE!</v>
      </c>
      <c r="AL18" s="124"/>
      <c r="AM18" s="121" t="e">
        <f t="shared" si="6"/>
        <v>#VALUE!</v>
      </c>
      <c r="AN18" s="121">
        <f t="shared" si="4"/>
        <v>0</v>
      </c>
      <c r="AO18" s="121">
        <f t="shared" si="4"/>
      </c>
      <c r="AP18" s="121">
        <f t="shared" si="4"/>
        <v>0</v>
      </c>
      <c r="AQ18" s="121">
        <f t="shared" si="4"/>
      </c>
    </row>
    <row r="19" spans="1:43" s="26" customFormat="1" ht="13.5" customHeight="1">
      <c r="A19" s="37" t="s">
        <v>86</v>
      </c>
      <c r="B19" s="38"/>
      <c r="F19" s="109"/>
      <c r="G19" s="109">
        <f t="shared" si="0"/>
      </c>
      <c r="H19" s="109"/>
      <c r="I19" s="109"/>
      <c r="J19" s="109"/>
      <c r="K19" s="109"/>
      <c r="L19" s="109"/>
      <c r="M19" s="109"/>
      <c r="N19" s="30"/>
      <c r="O19" s="30">
        <f t="shared" si="1"/>
        <v>0</v>
      </c>
      <c r="P19" s="26">
        <f t="shared" si="2"/>
        <v>0</v>
      </c>
      <c r="S19" s="26" t="s">
        <v>12</v>
      </c>
      <c r="V19" s="27"/>
      <c r="W19" s="28"/>
      <c r="X19" s="29">
        <f t="shared" si="3"/>
      </c>
      <c r="Y19" s="29"/>
      <c r="Z19" s="29"/>
      <c r="AA19" s="29"/>
      <c r="AB19" s="29"/>
      <c r="AC19" s="29"/>
      <c r="AD19" s="29"/>
      <c r="AE19" s="45"/>
      <c r="AF19" s="45"/>
      <c r="AH19" s="120"/>
      <c r="AI19" s="120">
        <v>0</v>
      </c>
      <c r="AJ19" s="121"/>
      <c r="AK19" s="121" t="e">
        <f t="shared" si="5"/>
        <v>#VALUE!</v>
      </c>
      <c r="AL19" s="124"/>
      <c r="AM19" s="121" t="e">
        <f t="shared" si="6"/>
        <v>#VALUE!</v>
      </c>
      <c r="AN19" s="121">
        <f t="shared" si="4"/>
        <v>0</v>
      </c>
      <c r="AO19" s="121">
        <f t="shared" si="4"/>
      </c>
      <c r="AP19" s="121">
        <f t="shared" si="4"/>
        <v>0</v>
      </c>
      <c r="AQ19" s="121">
        <f t="shared" si="4"/>
      </c>
    </row>
    <row r="20" spans="1:43" s="26" customFormat="1" ht="13.5" customHeight="1">
      <c r="A20" s="24" t="s">
        <v>87</v>
      </c>
      <c r="D20" s="26">
        <f>IF(AE20&gt;2,1,"")</f>
      </c>
      <c r="E20" s="39"/>
      <c r="N20" s="30"/>
      <c r="O20" s="30">
        <f>D20</f>
      </c>
      <c r="P20" s="26">
        <f t="shared" si="2"/>
        <v>0</v>
      </c>
      <c r="R20" s="34"/>
      <c r="S20" s="34" t="s">
        <v>13</v>
      </c>
      <c r="T20" s="34"/>
      <c r="U20" s="34"/>
      <c r="V20" s="27"/>
      <c r="W20" s="40"/>
      <c r="X20" s="41">
        <f t="shared" si="3"/>
      </c>
      <c r="Y20" s="41"/>
      <c r="Z20" s="41"/>
      <c r="AA20" s="41"/>
      <c r="AB20" s="41"/>
      <c r="AC20" s="41"/>
      <c r="AD20" s="41"/>
      <c r="AE20" s="45">
        <f>SUM(G21:G24)</f>
        <v>0</v>
      </c>
      <c r="AF20" s="45"/>
      <c r="AH20" s="120"/>
      <c r="AI20" s="120"/>
      <c r="AJ20" s="121"/>
      <c r="AK20" s="124"/>
      <c r="AL20" s="124"/>
      <c r="AM20" s="121"/>
      <c r="AN20" s="121">
        <f t="shared" si="4"/>
        <v>0</v>
      </c>
      <c r="AO20" s="121">
        <f t="shared" si="4"/>
        <v>0</v>
      </c>
      <c r="AP20" s="121">
        <f t="shared" si="4"/>
        <v>0</v>
      </c>
      <c r="AQ20" s="121">
        <f t="shared" si="4"/>
        <v>0</v>
      </c>
    </row>
    <row r="21" spans="1:43" s="26" customFormat="1" ht="13.5" customHeight="1">
      <c r="A21" s="24"/>
      <c r="B21" s="26" t="s">
        <v>88</v>
      </c>
      <c r="E21" s="27"/>
      <c r="F21" s="28"/>
      <c r="G21" s="29">
        <f t="shared" si="0"/>
      </c>
      <c r="H21" s="29"/>
      <c r="I21" s="29"/>
      <c r="J21" s="29"/>
      <c r="K21" s="29"/>
      <c r="L21" s="29"/>
      <c r="M21" s="29"/>
      <c r="N21" s="30"/>
      <c r="O21" s="30">
        <f t="shared" si="1"/>
        <v>0</v>
      </c>
      <c r="P21" s="26">
        <f t="shared" si="2"/>
        <v>0</v>
      </c>
      <c r="R21" s="24" t="s">
        <v>14</v>
      </c>
      <c r="W21" s="109"/>
      <c r="X21" s="109">
        <f t="shared" si="3"/>
      </c>
      <c r="Y21" s="109"/>
      <c r="Z21" s="109"/>
      <c r="AA21" s="109"/>
      <c r="AB21" s="109"/>
      <c r="AC21" s="109"/>
      <c r="AD21" s="109"/>
      <c r="AE21" s="45"/>
      <c r="AF21" s="45"/>
      <c r="AH21" s="120">
        <v>0</v>
      </c>
      <c r="AI21" s="120"/>
      <c r="AJ21" s="121" t="e">
        <f>LOG(4*G21+1)*AH21</f>
        <v>#VALUE!</v>
      </c>
      <c r="AK21" s="124"/>
      <c r="AL21" s="121" t="e">
        <f>LOG(4*G21+1)</f>
        <v>#VALUE!</v>
      </c>
      <c r="AM21" s="121"/>
      <c r="AN21" s="121">
        <f t="shared" si="4"/>
      </c>
      <c r="AO21" s="121">
        <f t="shared" si="4"/>
        <v>0</v>
      </c>
      <c r="AP21" s="121">
        <f t="shared" si="4"/>
      </c>
      <c r="AQ21" s="121">
        <f t="shared" si="4"/>
        <v>0</v>
      </c>
    </row>
    <row r="22" spans="2:43" s="26" customFormat="1" ht="13.5" customHeight="1">
      <c r="B22" s="26" t="s">
        <v>89</v>
      </c>
      <c r="E22" s="27"/>
      <c r="F22" s="28"/>
      <c r="G22" s="29">
        <f t="shared" si="0"/>
      </c>
      <c r="H22" s="29"/>
      <c r="I22" s="29"/>
      <c r="J22" s="29"/>
      <c r="K22" s="29"/>
      <c r="L22" s="29"/>
      <c r="M22" s="29"/>
      <c r="N22" s="30"/>
      <c r="O22" s="30">
        <f t="shared" si="1"/>
        <v>0</v>
      </c>
      <c r="P22" s="26">
        <f t="shared" si="2"/>
        <v>0</v>
      </c>
      <c r="R22" s="24"/>
      <c r="S22" s="26" t="s">
        <v>15</v>
      </c>
      <c r="V22" s="27"/>
      <c r="W22" s="28"/>
      <c r="X22" s="29">
        <f t="shared" si="3"/>
      </c>
      <c r="Y22" s="29"/>
      <c r="Z22" s="29"/>
      <c r="AA22" s="29"/>
      <c r="AB22" s="29"/>
      <c r="AC22" s="29"/>
      <c r="AD22" s="29"/>
      <c r="AE22" s="45"/>
      <c r="AF22" s="45"/>
      <c r="AH22" s="120">
        <v>0</v>
      </c>
      <c r="AI22" s="120">
        <v>1</v>
      </c>
      <c r="AJ22" s="121" t="e">
        <f>LOG(4*G22+1)*AH22</f>
        <v>#VALUE!</v>
      </c>
      <c r="AK22" s="121" t="e">
        <f>LOG(4*X22+1)*AI22</f>
        <v>#VALUE!</v>
      </c>
      <c r="AL22" s="121" t="e">
        <f>LOG(4*G22+1)</f>
        <v>#VALUE!</v>
      </c>
      <c r="AM22" s="121" t="e">
        <f>LOG(4*X22+1)</f>
        <v>#VALUE!</v>
      </c>
      <c r="AN22" s="121">
        <f t="shared" si="4"/>
      </c>
      <c r="AO22" s="121">
        <f t="shared" si="4"/>
      </c>
      <c r="AP22" s="121">
        <f t="shared" si="4"/>
      </c>
      <c r="AQ22" s="121">
        <f t="shared" si="4"/>
      </c>
    </row>
    <row r="23" spans="2:43" s="26" customFormat="1" ht="13.5" customHeight="1">
      <c r="B23" s="26" t="s">
        <v>90</v>
      </c>
      <c r="E23" s="27"/>
      <c r="F23" s="28"/>
      <c r="G23" s="29">
        <f t="shared" si="0"/>
      </c>
      <c r="H23" s="29"/>
      <c r="I23" s="29"/>
      <c r="J23" s="29"/>
      <c r="K23" s="29"/>
      <c r="L23" s="29"/>
      <c r="M23" s="29"/>
      <c r="N23" s="30"/>
      <c r="O23" s="30">
        <f t="shared" si="1"/>
        <v>0</v>
      </c>
      <c r="P23" s="26">
        <f t="shared" si="2"/>
        <v>0</v>
      </c>
      <c r="R23" s="24" t="s">
        <v>92</v>
      </c>
      <c r="X23" s="26">
        <f t="shared" si="3"/>
      </c>
      <c r="AE23" s="45"/>
      <c r="AF23" s="45"/>
      <c r="AH23" s="120">
        <v>0</v>
      </c>
      <c r="AI23" s="120"/>
      <c r="AJ23" s="121" t="e">
        <f>LOG(4*G23+1)*AH23</f>
        <v>#VALUE!</v>
      </c>
      <c r="AK23" s="124"/>
      <c r="AL23" s="121" t="e">
        <f>LOG(4*G23+1)</f>
        <v>#VALUE!</v>
      </c>
      <c r="AM23" s="121"/>
      <c r="AN23" s="121">
        <f t="shared" si="4"/>
      </c>
      <c r="AO23" s="121">
        <f t="shared" si="4"/>
        <v>0</v>
      </c>
      <c r="AP23" s="121">
        <f t="shared" si="4"/>
      </c>
      <c r="AQ23" s="121">
        <f t="shared" si="4"/>
        <v>0</v>
      </c>
    </row>
    <row r="24" spans="1:43" s="26" customFormat="1" ht="13.5" customHeight="1">
      <c r="A24" s="24"/>
      <c r="B24" s="26" t="s">
        <v>91</v>
      </c>
      <c r="E24" s="27"/>
      <c r="F24" s="28"/>
      <c r="G24" s="29">
        <f>IF(E24&lt;&gt;0,E24,"")</f>
      </c>
      <c r="H24" s="29"/>
      <c r="I24" s="29"/>
      <c r="J24" s="29"/>
      <c r="K24" s="29"/>
      <c r="L24" s="29"/>
      <c r="M24" s="29"/>
      <c r="N24" s="30"/>
      <c r="O24" s="30">
        <f t="shared" si="1"/>
        <v>0</v>
      </c>
      <c r="P24" s="26">
        <f t="shared" si="2"/>
        <v>0</v>
      </c>
      <c r="S24" s="26" t="s">
        <v>16</v>
      </c>
      <c r="V24" s="27"/>
      <c r="W24" s="28"/>
      <c r="X24" s="29">
        <f t="shared" si="3"/>
      </c>
      <c r="Y24" s="29"/>
      <c r="Z24" s="29"/>
      <c r="AA24" s="29"/>
      <c r="AB24" s="29"/>
      <c r="AC24" s="29"/>
      <c r="AD24" s="29"/>
      <c r="AE24" s="45"/>
      <c r="AF24" s="45"/>
      <c r="AH24" s="120">
        <v>0</v>
      </c>
      <c r="AI24" s="120"/>
      <c r="AJ24" s="121" t="e">
        <f>LOG(4*G24+1)*AH24</f>
        <v>#VALUE!</v>
      </c>
      <c r="AK24" s="124"/>
      <c r="AL24" s="121" t="e">
        <f>LOG(4*G24+1)</f>
        <v>#VALUE!</v>
      </c>
      <c r="AM24" s="121"/>
      <c r="AN24" s="121">
        <f t="shared" si="4"/>
      </c>
      <c r="AO24" s="121">
        <f t="shared" si="4"/>
        <v>0</v>
      </c>
      <c r="AP24" s="121">
        <f t="shared" si="4"/>
      </c>
      <c r="AQ24" s="121">
        <f t="shared" si="4"/>
        <v>0</v>
      </c>
    </row>
    <row r="25" spans="1:43" s="26" customFormat="1" ht="13.5" customHeight="1">
      <c r="A25" s="24"/>
      <c r="N25" s="30"/>
      <c r="O25" s="30">
        <f t="shared" si="1"/>
        <v>0</v>
      </c>
      <c r="P25" s="26">
        <f t="shared" si="2"/>
        <v>0</v>
      </c>
      <c r="R25" s="33"/>
      <c r="S25" s="34" t="s">
        <v>17</v>
      </c>
      <c r="T25" s="34"/>
      <c r="U25" s="34"/>
      <c r="V25" s="27"/>
      <c r="W25" s="40"/>
      <c r="X25" s="41">
        <f t="shared" si="3"/>
      </c>
      <c r="Y25" s="41"/>
      <c r="Z25" s="41"/>
      <c r="AA25" s="41"/>
      <c r="AB25" s="41"/>
      <c r="AC25" s="41"/>
      <c r="AD25" s="41"/>
      <c r="AE25" s="45"/>
      <c r="AF25" s="45"/>
      <c r="AH25" s="120"/>
      <c r="AI25" s="120"/>
      <c r="AJ25" s="121"/>
      <c r="AK25" s="124"/>
      <c r="AL25" s="124"/>
      <c r="AM25" s="121"/>
      <c r="AN25" s="121">
        <f t="shared" si="4"/>
        <v>0</v>
      </c>
      <c r="AO25" s="121">
        <f t="shared" si="4"/>
        <v>0</v>
      </c>
      <c r="AP25" s="121">
        <f t="shared" si="4"/>
        <v>0</v>
      </c>
      <c r="AQ25" s="121">
        <f t="shared" si="4"/>
        <v>0</v>
      </c>
    </row>
    <row r="26" spans="1:43" s="26" customFormat="1" ht="13.5" customHeight="1">
      <c r="A26" s="24" t="s">
        <v>93</v>
      </c>
      <c r="D26" s="26">
        <f>IF(E26&gt;9,1,"")</f>
      </c>
      <c r="E26" s="27"/>
      <c r="F26" s="28"/>
      <c r="G26" s="29">
        <f t="shared" si="0"/>
      </c>
      <c r="H26" s="29"/>
      <c r="I26" s="29"/>
      <c r="J26" s="29"/>
      <c r="K26" s="29"/>
      <c r="L26" s="29"/>
      <c r="M26" s="29"/>
      <c r="N26" s="30"/>
      <c r="O26" s="30">
        <f t="shared" si="1"/>
      </c>
      <c r="P26" s="26">
        <f t="shared" si="2"/>
        <v>0</v>
      </c>
      <c r="R26" s="24" t="s">
        <v>19</v>
      </c>
      <c r="W26" s="109"/>
      <c r="X26" s="109">
        <f t="shared" si="3"/>
      </c>
      <c r="Y26" s="109"/>
      <c r="Z26" s="109"/>
      <c r="AA26" s="109"/>
      <c r="AB26" s="109"/>
      <c r="AC26" s="109"/>
      <c r="AD26" s="109"/>
      <c r="AE26" s="45"/>
      <c r="AF26" s="45"/>
      <c r="AH26" s="120">
        <v>0</v>
      </c>
      <c r="AI26" s="120"/>
      <c r="AJ26" s="121" t="e">
        <f>LOG(4*G26+1)*AH26</f>
        <v>#VALUE!</v>
      </c>
      <c r="AK26" s="124"/>
      <c r="AL26" s="121" t="e">
        <f>LOG(4*G26+1)</f>
        <v>#VALUE!</v>
      </c>
      <c r="AM26" s="121"/>
      <c r="AN26" s="121">
        <f t="shared" si="4"/>
      </c>
      <c r="AO26" s="121">
        <f t="shared" si="4"/>
        <v>0</v>
      </c>
      <c r="AP26" s="121">
        <f t="shared" si="4"/>
      </c>
      <c r="AQ26" s="121">
        <f t="shared" si="4"/>
        <v>0</v>
      </c>
    </row>
    <row r="27" spans="1:43" s="26" customFormat="1" ht="13.5" customHeight="1">
      <c r="A27" s="33"/>
      <c r="B27" s="34"/>
      <c r="C27" s="34"/>
      <c r="D27" s="34"/>
      <c r="E27" s="92"/>
      <c r="F27" s="36"/>
      <c r="G27" s="36">
        <f t="shared" si="0"/>
      </c>
      <c r="H27" s="36"/>
      <c r="I27" s="36"/>
      <c r="J27" s="36"/>
      <c r="K27" s="36"/>
      <c r="L27" s="93" t="s">
        <v>178</v>
      </c>
      <c r="M27" s="75"/>
      <c r="N27" s="30"/>
      <c r="O27" s="30">
        <f t="shared" si="1"/>
        <v>0</v>
      </c>
      <c r="P27" s="26">
        <f t="shared" si="2"/>
        <v>0</v>
      </c>
      <c r="S27" s="26" t="s">
        <v>20</v>
      </c>
      <c r="V27" s="27"/>
      <c r="W27" s="28"/>
      <c r="X27" s="29">
        <f t="shared" si="3"/>
      </c>
      <c r="Y27" s="29"/>
      <c r="Z27" s="29"/>
      <c r="AA27" s="29"/>
      <c r="AB27" s="29"/>
      <c r="AC27" s="29"/>
      <c r="AD27" s="29"/>
      <c r="AE27" s="45"/>
      <c r="AF27" s="45"/>
      <c r="AH27" s="120"/>
      <c r="AI27" s="120">
        <v>0</v>
      </c>
      <c r="AJ27" s="121"/>
      <c r="AK27" s="121" t="e">
        <f aca="true" t="shared" si="7" ref="AK27:AK43">LOG(4*X27+1)*AI27</f>
        <v>#VALUE!</v>
      </c>
      <c r="AL27" s="124"/>
      <c r="AM27" s="121" t="e">
        <f aca="true" t="shared" si="8" ref="AM27:AM43">LOG(4*X27+1)</f>
        <v>#VALUE!</v>
      </c>
      <c r="AN27" s="121">
        <f t="shared" si="4"/>
        <v>0</v>
      </c>
      <c r="AO27" s="121">
        <f t="shared" si="4"/>
      </c>
      <c r="AP27" s="121">
        <f t="shared" si="4"/>
        <v>0</v>
      </c>
      <c r="AQ27" s="121">
        <f t="shared" si="4"/>
      </c>
    </row>
    <row r="28" spans="1:43" s="26" customFormat="1" ht="13.5" customHeight="1">
      <c r="A28" s="24" t="s">
        <v>94</v>
      </c>
      <c r="G28" s="26">
        <f t="shared" si="0"/>
      </c>
      <c r="N28" s="30"/>
      <c r="O28" s="30">
        <f t="shared" si="1"/>
        <v>0</v>
      </c>
      <c r="P28" s="26">
        <f t="shared" si="2"/>
        <v>0</v>
      </c>
      <c r="S28" s="26" t="s">
        <v>21</v>
      </c>
      <c r="V28" s="27"/>
      <c r="W28" s="28"/>
      <c r="X28" s="29">
        <f t="shared" si="3"/>
      </c>
      <c r="Y28" s="29"/>
      <c r="Z28" s="29"/>
      <c r="AA28" s="29"/>
      <c r="AB28" s="29"/>
      <c r="AC28" s="29"/>
      <c r="AD28" s="29"/>
      <c r="AE28" s="45"/>
      <c r="AF28" s="45"/>
      <c r="AH28" s="120"/>
      <c r="AI28" s="120">
        <v>0</v>
      </c>
      <c r="AJ28" s="121"/>
      <c r="AK28" s="121" t="e">
        <f t="shared" si="7"/>
        <v>#VALUE!</v>
      </c>
      <c r="AL28" s="124"/>
      <c r="AM28" s="121" t="e">
        <f t="shared" si="8"/>
        <v>#VALUE!</v>
      </c>
      <c r="AN28" s="121">
        <f t="shared" si="4"/>
        <v>0</v>
      </c>
      <c r="AO28" s="121">
        <f t="shared" si="4"/>
      </c>
      <c r="AP28" s="121">
        <f t="shared" si="4"/>
        <v>0</v>
      </c>
      <c r="AQ28" s="121">
        <f t="shared" si="4"/>
      </c>
    </row>
    <row r="29" spans="1:43" s="26" customFormat="1" ht="13.5" customHeight="1">
      <c r="A29" s="24" t="s">
        <v>95</v>
      </c>
      <c r="D29" s="26">
        <f>IF(AE29&gt;2,2,"")</f>
      </c>
      <c r="F29" s="109"/>
      <c r="G29" s="109">
        <f t="shared" si="0"/>
      </c>
      <c r="H29" s="109"/>
      <c r="I29" s="109"/>
      <c r="J29" s="109"/>
      <c r="K29" s="109"/>
      <c r="L29" s="109"/>
      <c r="M29" s="109"/>
      <c r="N29" s="30"/>
      <c r="O29" s="30">
        <f t="shared" si="1"/>
      </c>
      <c r="P29" s="26">
        <f t="shared" si="2"/>
        <v>0</v>
      </c>
      <c r="S29" s="26" t="s">
        <v>22</v>
      </c>
      <c r="V29" s="27"/>
      <c r="W29" s="28"/>
      <c r="X29" s="29">
        <f t="shared" si="3"/>
      </c>
      <c r="Y29" s="29"/>
      <c r="Z29" s="29"/>
      <c r="AA29" s="29"/>
      <c r="AB29" s="29"/>
      <c r="AC29" s="29"/>
      <c r="AD29" s="29"/>
      <c r="AE29" s="45">
        <f>SUM(G30:G45)</f>
        <v>0</v>
      </c>
      <c r="AF29" s="45"/>
      <c r="AH29" s="120"/>
      <c r="AI29" s="120">
        <v>0</v>
      </c>
      <c r="AJ29" s="121"/>
      <c r="AK29" s="121" t="e">
        <f t="shared" si="7"/>
        <v>#VALUE!</v>
      </c>
      <c r="AL29" s="124"/>
      <c r="AM29" s="121" t="e">
        <f t="shared" si="8"/>
        <v>#VALUE!</v>
      </c>
      <c r="AN29" s="121">
        <f t="shared" si="4"/>
        <v>0</v>
      </c>
      <c r="AO29" s="121">
        <f t="shared" si="4"/>
      </c>
      <c r="AP29" s="121">
        <f t="shared" si="4"/>
        <v>0</v>
      </c>
      <c r="AQ29" s="121">
        <f t="shared" si="4"/>
      </c>
    </row>
    <row r="30" spans="2:43" s="26" customFormat="1" ht="13.5" customHeight="1">
      <c r="B30" s="26" t="s">
        <v>96</v>
      </c>
      <c r="E30" s="27"/>
      <c r="F30" s="28"/>
      <c r="G30" s="29">
        <f t="shared" si="0"/>
      </c>
      <c r="H30" s="29"/>
      <c r="I30" s="29"/>
      <c r="J30" s="29"/>
      <c r="K30" s="29"/>
      <c r="L30" s="29"/>
      <c r="M30" s="29"/>
      <c r="N30" s="30"/>
      <c r="O30" s="30">
        <f t="shared" si="1"/>
        <v>0</v>
      </c>
      <c r="P30" s="26">
        <f t="shared" si="2"/>
        <v>0</v>
      </c>
      <c r="S30" s="26" t="s">
        <v>23</v>
      </c>
      <c r="V30" s="27"/>
      <c r="W30" s="28"/>
      <c r="X30" s="29">
        <f t="shared" si="3"/>
      </c>
      <c r="Y30" s="29"/>
      <c r="Z30" s="29"/>
      <c r="AA30" s="29"/>
      <c r="AB30" s="29"/>
      <c r="AC30" s="29"/>
      <c r="AD30" s="29"/>
      <c r="AE30" s="45"/>
      <c r="AF30" s="45"/>
      <c r="AH30" s="120">
        <v>0</v>
      </c>
      <c r="AI30" s="120">
        <v>0</v>
      </c>
      <c r="AJ30" s="121" t="e">
        <f>LOG(4*G30+1)*AH30</f>
        <v>#VALUE!</v>
      </c>
      <c r="AK30" s="121" t="e">
        <f t="shared" si="7"/>
        <v>#VALUE!</v>
      </c>
      <c r="AL30" s="121" t="e">
        <f>LOG(4*G30+1)</f>
        <v>#VALUE!</v>
      </c>
      <c r="AM30" s="121" t="e">
        <f t="shared" si="8"/>
        <v>#VALUE!</v>
      </c>
      <c r="AN30" s="121">
        <f t="shared" si="4"/>
      </c>
      <c r="AO30" s="121">
        <f t="shared" si="4"/>
      </c>
      <c r="AP30" s="121">
        <f t="shared" si="4"/>
      </c>
      <c r="AQ30" s="121">
        <f t="shared" si="4"/>
      </c>
    </row>
    <row r="31" spans="2:43" s="26" customFormat="1" ht="13.5" customHeight="1">
      <c r="B31" s="26" t="s">
        <v>154</v>
      </c>
      <c r="E31" s="27"/>
      <c r="F31" s="28"/>
      <c r="G31" s="29">
        <f t="shared" si="0"/>
      </c>
      <c r="H31" s="29"/>
      <c r="I31" s="29"/>
      <c r="J31" s="29"/>
      <c r="K31" s="29"/>
      <c r="L31" s="29"/>
      <c r="M31" s="29"/>
      <c r="N31" s="30"/>
      <c r="O31" s="30">
        <f t="shared" si="1"/>
        <v>0</v>
      </c>
      <c r="P31" s="26">
        <f t="shared" si="2"/>
      </c>
      <c r="S31" s="26" t="s">
        <v>25</v>
      </c>
      <c r="U31" s="26">
        <f>IF(V31&gt;9,2,"")</f>
      </c>
      <c r="V31" s="27"/>
      <c r="W31" s="28"/>
      <c r="X31" s="29">
        <f t="shared" si="3"/>
      </c>
      <c r="Y31" s="29"/>
      <c r="Z31" s="29"/>
      <c r="AA31" s="29"/>
      <c r="AB31" s="29"/>
      <c r="AC31" s="29"/>
      <c r="AD31" s="29"/>
      <c r="AE31" s="102" t="e">
        <f>IF(X98=1,1,)</f>
        <v>#NUM!</v>
      </c>
      <c r="AF31" s="102" t="e">
        <f>IF(P100=1,1,)</f>
        <v>#NUM!</v>
      </c>
      <c r="AG31" s="101" t="s">
        <v>192</v>
      </c>
      <c r="AH31" s="120">
        <v>0</v>
      </c>
      <c r="AI31" s="120">
        <v>0</v>
      </c>
      <c r="AJ31" s="121" t="e">
        <f>LOG(4*G31+1)*AH31</f>
        <v>#VALUE!</v>
      </c>
      <c r="AK31" s="121" t="e">
        <f t="shared" si="7"/>
        <v>#VALUE!</v>
      </c>
      <c r="AL31" s="121" t="e">
        <f>LOG(4*G31+1)</f>
        <v>#VALUE!</v>
      </c>
      <c r="AM31" s="121" t="e">
        <f t="shared" si="8"/>
        <v>#VALUE!</v>
      </c>
      <c r="AN31" s="121">
        <f t="shared" si="4"/>
      </c>
      <c r="AO31" s="121">
        <f t="shared" si="4"/>
      </c>
      <c r="AP31" s="121">
        <f t="shared" si="4"/>
      </c>
      <c r="AQ31" s="121">
        <f t="shared" si="4"/>
      </c>
    </row>
    <row r="32" spans="2:43" s="26" customFormat="1" ht="13.5" customHeight="1">
      <c r="B32" s="26" t="s">
        <v>97</v>
      </c>
      <c r="E32" s="27"/>
      <c r="F32" s="28"/>
      <c r="G32" s="29">
        <f t="shared" si="0"/>
      </c>
      <c r="H32" s="29"/>
      <c r="I32" s="29"/>
      <c r="J32" s="29"/>
      <c r="K32" s="29"/>
      <c r="L32" s="29"/>
      <c r="M32" s="29"/>
      <c r="N32" s="30"/>
      <c r="O32" s="30">
        <f t="shared" si="1"/>
        <v>0</v>
      </c>
      <c r="P32" s="26">
        <f t="shared" si="2"/>
        <v>0</v>
      </c>
      <c r="R32" s="24"/>
      <c r="S32" s="26" t="s">
        <v>29</v>
      </c>
      <c r="V32" s="27"/>
      <c r="W32" s="28"/>
      <c r="X32" s="29">
        <f t="shared" si="3"/>
      </c>
      <c r="Y32" s="29"/>
      <c r="Z32" s="29"/>
      <c r="AA32" s="29"/>
      <c r="AB32" s="29"/>
      <c r="AC32" s="29"/>
      <c r="AD32" s="29"/>
      <c r="AE32" s="45" t="e">
        <f>IF(X98=2,1,)</f>
        <v>#NUM!</v>
      </c>
      <c r="AF32" s="45" t="e">
        <f>IF(P100=2,1,)</f>
        <v>#NUM!</v>
      </c>
      <c r="AH32" s="120">
        <v>0</v>
      </c>
      <c r="AI32" s="120">
        <v>0</v>
      </c>
      <c r="AJ32" s="121" t="e">
        <f>LOG(4*G32+1)*AH32</f>
        <v>#VALUE!</v>
      </c>
      <c r="AK32" s="121" t="e">
        <f t="shared" si="7"/>
        <v>#VALUE!</v>
      </c>
      <c r="AL32" s="121" t="e">
        <f>LOG(4*G32+1)</f>
        <v>#VALUE!</v>
      </c>
      <c r="AM32" s="121" t="e">
        <f t="shared" si="8"/>
        <v>#VALUE!</v>
      </c>
      <c r="AN32" s="121">
        <f t="shared" si="4"/>
      </c>
      <c r="AO32" s="121">
        <f t="shared" si="4"/>
      </c>
      <c r="AP32" s="121">
        <f t="shared" si="4"/>
      </c>
      <c r="AQ32" s="121">
        <f t="shared" si="4"/>
      </c>
    </row>
    <row r="33" spans="2:43" s="26" customFormat="1" ht="13.5" customHeight="1">
      <c r="B33" s="26" t="s">
        <v>158</v>
      </c>
      <c r="E33" s="27"/>
      <c r="F33" s="28"/>
      <c r="G33" s="29">
        <f t="shared" si="0"/>
      </c>
      <c r="H33" s="29"/>
      <c r="I33" s="29"/>
      <c r="J33" s="29"/>
      <c r="K33" s="29"/>
      <c r="L33" s="29"/>
      <c r="M33" s="29"/>
      <c r="N33" s="30"/>
      <c r="O33" s="30">
        <f t="shared" si="1"/>
        <v>0</v>
      </c>
      <c r="P33" s="26">
        <f t="shared" si="2"/>
        <v>0</v>
      </c>
      <c r="R33" s="24"/>
      <c r="S33" s="26" t="s">
        <v>30</v>
      </c>
      <c r="V33" s="27"/>
      <c r="W33" s="28"/>
      <c r="X33" s="29">
        <f t="shared" si="3"/>
      </c>
      <c r="Y33" s="29"/>
      <c r="Z33" s="29"/>
      <c r="AA33" s="29"/>
      <c r="AB33" s="29"/>
      <c r="AC33" s="29"/>
      <c r="AD33" s="29"/>
      <c r="AE33" s="45" t="e">
        <f>IF(X98=3,1,)</f>
        <v>#NUM!</v>
      </c>
      <c r="AF33" s="45" t="e">
        <f>IF(P100=3,1,)</f>
        <v>#NUM!</v>
      </c>
      <c r="AH33" s="120"/>
      <c r="AI33" s="120">
        <v>0</v>
      </c>
      <c r="AJ33" s="121"/>
      <c r="AK33" s="121" t="e">
        <f t="shared" si="7"/>
        <v>#VALUE!</v>
      </c>
      <c r="AL33" s="124"/>
      <c r="AM33" s="121" t="e">
        <f t="shared" si="8"/>
        <v>#VALUE!</v>
      </c>
      <c r="AN33" s="121">
        <f t="shared" si="4"/>
        <v>0</v>
      </c>
      <c r="AO33" s="121">
        <f t="shared" si="4"/>
      </c>
      <c r="AP33" s="121">
        <f t="shared" si="4"/>
        <v>0</v>
      </c>
      <c r="AQ33" s="121">
        <f t="shared" si="4"/>
      </c>
    </row>
    <row r="34" spans="2:43" s="26" customFormat="1" ht="13.5" customHeight="1">
      <c r="B34" s="26" t="s">
        <v>98</v>
      </c>
      <c r="E34" s="27"/>
      <c r="F34" s="28"/>
      <c r="G34" s="29">
        <f t="shared" si="0"/>
      </c>
      <c r="H34" s="29"/>
      <c r="I34" s="29"/>
      <c r="J34" s="29"/>
      <c r="K34" s="29"/>
      <c r="L34" s="76" t="s">
        <v>175</v>
      </c>
      <c r="M34" s="75"/>
      <c r="N34" s="30"/>
      <c r="O34" s="30">
        <f t="shared" si="1"/>
        <v>0</v>
      </c>
      <c r="P34" s="26">
        <f t="shared" si="2"/>
        <v>0</v>
      </c>
      <c r="R34" s="24"/>
      <c r="S34" s="26" t="s">
        <v>287</v>
      </c>
      <c r="V34" s="27"/>
      <c r="W34" s="28"/>
      <c r="X34" s="29">
        <f t="shared" si="3"/>
      </c>
      <c r="Y34" s="29"/>
      <c r="Z34" s="29"/>
      <c r="AA34" s="29"/>
      <c r="AB34" s="29"/>
      <c r="AC34" s="29"/>
      <c r="AD34" s="29"/>
      <c r="AE34" s="45" t="e">
        <f>IF(X98=4,2,)</f>
        <v>#NUM!</v>
      </c>
      <c r="AF34" s="45" t="e">
        <f>IF(P100=4,2,)</f>
        <v>#NUM!</v>
      </c>
      <c r="AH34" s="120">
        <v>0</v>
      </c>
      <c r="AI34" s="120">
        <v>0</v>
      </c>
      <c r="AJ34" s="121" t="e">
        <f aca="true" t="shared" si="9" ref="AJ34:AJ40">LOG(4*G34+1)*AH34</f>
        <v>#VALUE!</v>
      </c>
      <c r="AK34" s="121" t="e">
        <f t="shared" si="7"/>
        <v>#VALUE!</v>
      </c>
      <c r="AL34" s="121" t="e">
        <f aca="true" t="shared" si="10" ref="AL34:AL40">LOG(4*G34+1)</f>
        <v>#VALUE!</v>
      </c>
      <c r="AM34" s="121" t="e">
        <f t="shared" si="8"/>
        <v>#VALUE!</v>
      </c>
      <c r="AN34" s="121">
        <f t="shared" si="4"/>
      </c>
      <c r="AO34" s="121">
        <f t="shared" si="4"/>
      </c>
      <c r="AP34" s="121">
        <f t="shared" si="4"/>
      </c>
      <c r="AQ34" s="121">
        <f t="shared" si="4"/>
      </c>
    </row>
    <row r="35" spans="2:43" s="26" customFormat="1" ht="13.5" customHeight="1">
      <c r="B35" s="26" t="s">
        <v>99</v>
      </c>
      <c r="E35" s="27"/>
      <c r="F35" s="28"/>
      <c r="G35" s="29">
        <f t="shared" si="0"/>
      </c>
      <c r="H35" s="29"/>
      <c r="I35" s="29"/>
      <c r="J35" s="29"/>
      <c r="K35" s="29"/>
      <c r="L35" s="29"/>
      <c r="M35" s="29"/>
      <c r="N35" s="30"/>
      <c r="O35" s="30">
        <f t="shared" si="1"/>
        <v>0</v>
      </c>
      <c r="P35" s="26">
        <f t="shared" si="2"/>
        <v>0</v>
      </c>
      <c r="R35" s="24"/>
      <c r="S35" s="26" t="s">
        <v>31</v>
      </c>
      <c r="V35" s="27"/>
      <c r="W35" s="28"/>
      <c r="X35" s="29">
        <f t="shared" si="3"/>
      </c>
      <c r="Y35" s="29"/>
      <c r="Z35" s="29"/>
      <c r="AA35" s="29"/>
      <c r="AB35" s="29"/>
      <c r="AC35" s="29"/>
      <c r="AD35" s="29"/>
      <c r="AE35" s="45" t="e">
        <f>IF(X98=5,2,)</f>
        <v>#NUM!</v>
      </c>
      <c r="AF35" s="45" t="e">
        <f>IF(P100=5,2,)</f>
        <v>#NUM!</v>
      </c>
      <c r="AH35" s="120">
        <v>0</v>
      </c>
      <c r="AI35" s="120">
        <v>0</v>
      </c>
      <c r="AJ35" s="121" t="e">
        <f t="shared" si="9"/>
        <v>#VALUE!</v>
      </c>
      <c r="AK35" s="121" t="e">
        <f t="shared" si="7"/>
        <v>#VALUE!</v>
      </c>
      <c r="AL35" s="121" t="e">
        <f t="shared" si="10"/>
        <v>#VALUE!</v>
      </c>
      <c r="AM35" s="121" t="e">
        <f t="shared" si="8"/>
        <v>#VALUE!</v>
      </c>
      <c r="AN35" s="121">
        <f t="shared" si="4"/>
      </c>
      <c r="AO35" s="121">
        <f t="shared" si="4"/>
      </c>
      <c r="AP35" s="121">
        <f t="shared" si="4"/>
      </c>
      <c r="AQ35" s="121">
        <f t="shared" si="4"/>
      </c>
    </row>
    <row r="36" spans="2:43" s="26" customFormat="1" ht="13.5" customHeight="1">
      <c r="B36" s="26" t="s">
        <v>100</v>
      </c>
      <c r="E36" s="27"/>
      <c r="F36" s="28"/>
      <c r="G36" s="29">
        <f t="shared" si="0"/>
      </c>
      <c r="H36" s="29"/>
      <c r="I36" s="29"/>
      <c r="J36" s="29"/>
      <c r="K36" s="29"/>
      <c r="L36" s="29"/>
      <c r="M36" s="29"/>
      <c r="N36" s="30"/>
      <c r="O36" s="30">
        <f t="shared" si="1"/>
        <v>0</v>
      </c>
      <c r="P36" s="26">
        <f t="shared" si="2"/>
        <v>0</v>
      </c>
      <c r="R36" s="24"/>
      <c r="S36" s="26" t="s">
        <v>288</v>
      </c>
      <c r="V36" s="27"/>
      <c r="W36" s="28"/>
      <c r="X36" s="29">
        <f t="shared" si="3"/>
      </c>
      <c r="Y36" s="29"/>
      <c r="Z36" s="29"/>
      <c r="AA36" s="29"/>
      <c r="AB36" s="29"/>
      <c r="AC36" s="29"/>
      <c r="AD36" s="29"/>
      <c r="AE36" s="45" t="e">
        <f>IF(X98=6,2,)</f>
        <v>#NUM!</v>
      </c>
      <c r="AF36" s="45" t="e">
        <f>IF(P100=6,2,)</f>
        <v>#NUM!</v>
      </c>
      <c r="AH36" s="120">
        <v>0</v>
      </c>
      <c r="AI36" s="120">
        <v>0</v>
      </c>
      <c r="AJ36" s="121" t="e">
        <f t="shared" si="9"/>
        <v>#VALUE!</v>
      </c>
      <c r="AK36" s="121" t="e">
        <f t="shared" si="7"/>
        <v>#VALUE!</v>
      </c>
      <c r="AL36" s="121" t="e">
        <f t="shared" si="10"/>
        <v>#VALUE!</v>
      </c>
      <c r="AM36" s="121" t="e">
        <f t="shared" si="8"/>
        <v>#VALUE!</v>
      </c>
      <c r="AN36" s="121">
        <f t="shared" si="4"/>
      </c>
      <c r="AO36" s="121">
        <f t="shared" si="4"/>
      </c>
      <c r="AP36" s="121">
        <f t="shared" si="4"/>
      </c>
      <c r="AQ36" s="121">
        <f t="shared" si="4"/>
      </c>
    </row>
    <row r="37" spans="2:43" s="26" customFormat="1" ht="13.5" customHeight="1">
      <c r="B37" s="26" t="s">
        <v>101</v>
      </c>
      <c r="E37" s="27"/>
      <c r="F37" s="28"/>
      <c r="G37" s="29">
        <f t="shared" si="0"/>
      </c>
      <c r="H37" s="29"/>
      <c r="I37" s="29"/>
      <c r="J37" s="29"/>
      <c r="K37" s="29"/>
      <c r="L37" s="76" t="s">
        <v>176</v>
      </c>
      <c r="M37" s="75"/>
      <c r="N37" s="30"/>
      <c r="O37" s="30">
        <f t="shared" si="1"/>
        <v>0</v>
      </c>
      <c r="P37" s="26">
        <f t="shared" si="2"/>
        <v>0</v>
      </c>
      <c r="S37" s="26" t="s">
        <v>32</v>
      </c>
      <c r="V37" s="27"/>
      <c r="W37" s="28"/>
      <c r="X37" s="29">
        <f t="shared" si="3"/>
      </c>
      <c r="Y37" s="29"/>
      <c r="Z37" s="29"/>
      <c r="AA37" s="29"/>
      <c r="AB37" s="29"/>
      <c r="AC37" s="29"/>
      <c r="AD37" s="29"/>
      <c r="AE37" s="45" t="e">
        <f>IF(X98=7,3,)</f>
        <v>#NUM!</v>
      </c>
      <c r="AF37" s="45" t="e">
        <f>IF(P100=7,3,)</f>
        <v>#NUM!</v>
      </c>
      <c r="AH37" s="120">
        <v>0</v>
      </c>
      <c r="AI37" s="120">
        <v>0</v>
      </c>
      <c r="AJ37" s="121" t="e">
        <f t="shared" si="9"/>
        <v>#VALUE!</v>
      </c>
      <c r="AK37" s="121" t="e">
        <f t="shared" si="7"/>
        <v>#VALUE!</v>
      </c>
      <c r="AL37" s="121" t="e">
        <f t="shared" si="10"/>
        <v>#VALUE!</v>
      </c>
      <c r="AM37" s="121" t="e">
        <f t="shared" si="8"/>
        <v>#VALUE!</v>
      </c>
      <c r="AN37" s="121">
        <f t="shared" si="4"/>
      </c>
      <c r="AO37" s="121">
        <f t="shared" si="4"/>
      </c>
      <c r="AP37" s="121">
        <f t="shared" si="4"/>
      </c>
      <c r="AQ37" s="121">
        <f t="shared" si="4"/>
      </c>
    </row>
    <row r="38" spans="2:43" s="26" customFormat="1" ht="13.5" customHeight="1">
      <c r="B38" s="26" t="s">
        <v>102</v>
      </c>
      <c r="E38" s="27"/>
      <c r="F38" s="28"/>
      <c r="G38" s="29">
        <f t="shared" si="0"/>
      </c>
      <c r="H38" s="29"/>
      <c r="I38" s="29"/>
      <c r="J38" s="29"/>
      <c r="K38" s="29"/>
      <c r="L38" s="29"/>
      <c r="M38" s="29"/>
      <c r="N38" s="30"/>
      <c r="O38" s="30">
        <f t="shared" si="1"/>
        <v>0</v>
      </c>
      <c r="P38" s="26">
        <f t="shared" si="2"/>
        <v>0</v>
      </c>
      <c r="R38" s="24"/>
      <c r="S38" s="26" t="s">
        <v>34</v>
      </c>
      <c r="V38" s="27"/>
      <c r="W38" s="28"/>
      <c r="X38" s="29">
        <f t="shared" si="3"/>
      </c>
      <c r="Y38" s="29"/>
      <c r="Z38" s="29"/>
      <c r="AA38" s="29"/>
      <c r="AB38" s="29"/>
      <c r="AC38" s="29"/>
      <c r="AD38" s="29"/>
      <c r="AE38" s="45" t="e">
        <f>IF(X98=8,3,)</f>
        <v>#NUM!</v>
      </c>
      <c r="AF38" s="45" t="e">
        <f>IF(P100=8,3,)</f>
        <v>#NUM!</v>
      </c>
      <c r="AH38" s="120">
        <v>0</v>
      </c>
      <c r="AI38" s="120">
        <v>0</v>
      </c>
      <c r="AJ38" s="121" t="e">
        <f t="shared" si="9"/>
        <v>#VALUE!</v>
      </c>
      <c r="AK38" s="121" t="e">
        <f t="shared" si="7"/>
        <v>#VALUE!</v>
      </c>
      <c r="AL38" s="121" t="e">
        <f t="shared" si="10"/>
        <v>#VALUE!</v>
      </c>
      <c r="AM38" s="121" t="e">
        <f t="shared" si="8"/>
        <v>#VALUE!</v>
      </c>
      <c r="AN38" s="121">
        <f t="shared" si="4"/>
      </c>
      <c r="AO38" s="121">
        <f t="shared" si="4"/>
      </c>
      <c r="AP38" s="121">
        <f t="shared" si="4"/>
      </c>
      <c r="AQ38" s="121">
        <f t="shared" si="4"/>
      </c>
    </row>
    <row r="39" spans="2:43" s="26" customFormat="1" ht="13.5" customHeight="1">
      <c r="B39" s="26" t="s">
        <v>103</v>
      </c>
      <c r="E39" s="27"/>
      <c r="F39" s="28"/>
      <c r="G39" s="29">
        <f t="shared" si="0"/>
      </c>
      <c r="H39" s="29"/>
      <c r="I39" s="29"/>
      <c r="J39" s="29"/>
      <c r="K39" s="29"/>
      <c r="L39" s="29"/>
      <c r="M39" s="29"/>
      <c r="N39" s="30"/>
      <c r="O39" s="30">
        <f t="shared" si="1"/>
        <v>0</v>
      </c>
      <c r="P39" s="26">
        <f t="shared" si="2"/>
        <v>0</v>
      </c>
      <c r="S39" s="26" t="s">
        <v>35</v>
      </c>
      <c r="V39" s="27"/>
      <c r="W39" s="28"/>
      <c r="X39" s="29">
        <f t="shared" si="3"/>
      </c>
      <c r="Y39" s="29"/>
      <c r="Z39" s="29"/>
      <c r="AA39" s="29"/>
      <c r="AB39" s="29"/>
      <c r="AC39" s="29"/>
      <c r="AD39" s="29"/>
      <c r="AE39" s="45" t="e">
        <f>IF(X98=9,3,)</f>
        <v>#NUM!</v>
      </c>
      <c r="AF39" s="45" t="e">
        <f>IF(P100=9,3,)</f>
        <v>#NUM!</v>
      </c>
      <c r="AH39" s="120">
        <v>0</v>
      </c>
      <c r="AI39" s="120">
        <v>0</v>
      </c>
      <c r="AJ39" s="121" t="e">
        <f t="shared" si="9"/>
        <v>#VALUE!</v>
      </c>
      <c r="AK39" s="121" t="e">
        <f t="shared" si="7"/>
        <v>#VALUE!</v>
      </c>
      <c r="AL39" s="121" t="e">
        <f t="shared" si="10"/>
        <v>#VALUE!</v>
      </c>
      <c r="AM39" s="121" t="e">
        <f t="shared" si="8"/>
        <v>#VALUE!</v>
      </c>
      <c r="AN39" s="121">
        <f t="shared" si="4"/>
      </c>
      <c r="AO39" s="121">
        <f t="shared" si="4"/>
      </c>
      <c r="AP39" s="121">
        <f t="shared" si="4"/>
      </c>
      <c r="AQ39" s="121">
        <f t="shared" si="4"/>
      </c>
    </row>
    <row r="40" spans="2:43" s="26" customFormat="1" ht="13.5" customHeight="1">
      <c r="B40" s="26" t="s">
        <v>104</v>
      </c>
      <c r="E40" s="27"/>
      <c r="F40" s="28"/>
      <c r="G40" s="29">
        <f t="shared" si="0"/>
      </c>
      <c r="H40" s="29"/>
      <c r="I40" s="29"/>
      <c r="J40" s="29"/>
      <c r="K40" s="29"/>
      <c r="L40" s="29"/>
      <c r="M40" s="29"/>
      <c r="N40" s="30"/>
      <c r="O40" s="30">
        <f t="shared" si="1"/>
        <v>0</v>
      </c>
      <c r="P40" s="26">
        <f t="shared" si="2"/>
        <v>0</v>
      </c>
      <c r="R40" s="24"/>
      <c r="S40" s="26" t="s">
        <v>36</v>
      </c>
      <c r="V40" s="27"/>
      <c r="W40" s="28"/>
      <c r="X40" s="29">
        <f t="shared" si="3"/>
      </c>
      <c r="Y40" s="29"/>
      <c r="Z40" s="29"/>
      <c r="AA40" s="29"/>
      <c r="AB40" s="29"/>
      <c r="AC40" s="29"/>
      <c r="AD40" s="29"/>
      <c r="AE40" s="45" t="e">
        <f>IF(X98=10,4,)</f>
        <v>#NUM!</v>
      </c>
      <c r="AF40" s="45" t="e">
        <f>IF(P100=10,4,)</f>
        <v>#NUM!</v>
      </c>
      <c r="AH40" s="120">
        <v>0</v>
      </c>
      <c r="AI40" s="120">
        <v>0</v>
      </c>
      <c r="AJ40" s="121" t="e">
        <f t="shared" si="9"/>
        <v>#VALUE!</v>
      </c>
      <c r="AK40" s="121" t="e">
        <f t="shared" si="7"/>
        <v>#VALUE!</v>
      </c>
      <c r="AL40" s="121" t="e">
        <f t="shared" si="10"/>
        <v>#VALUE!</v>
      </c>
      <c r="AM40" s="121" t="e">
        <f t="shared" si="8"/>
        <v>#VALUE!</v>
      </c>
      <c r="AN40" s="121">
        <f t="shared" si="4"/>
      </c>
      <c r="AO40" s="121">
        <f t="shared" si="4"/>
      </c>
      <c r="AP40" s="121">
        <f t="shared" si="4"/>
      </c>
      <c r="AQ40" s="121">
        <f t="shared" si="4"/>
      </c>
    </row>
    <row r="41" spans="1:43" s="26" customFormat="1" ht="13.5" customHeight="1">
      <c r="A41" s="24" t="s">
        <v>105</v>
      </c>
      <c r="F41" s="110"/>
      <c r="G41" s="110">
        <f t="shared" si="0"/>
      </c>
      <c r="H41" s="110"/>
      <c r="I41" s="110"/>
      <c r="J41" s="110"/>
      <c r="K41" s="110"/>
      <c r="L41" s="110"/>
      <c r="M41" s="109"/>
      <c r="N41" s="30"/>
      <c r="O41" s="30">
        <f t="shared" si="1"/>
        <v>0</v>
      </c>
      <c r="P41" s="26">
        <f t="shared" si="2"/>
        <v>0</v>
      </c>
      <c r="S41" s="26" t="s">
        <v>152</v>
      </c>
      <c r="V41" s="27"/>
      <c r="W41" s="28"/>
      <c r="X41" s="29">
        <f t="shared" si="3"/>
      </c>
      <c r="Y41" s="29"/>
      <c r="Z41" s="29"/>
      <c r="AA41" s="29"/>
      <c r="AB41" s="29"/>
      <c r="AC41" s="29"/>
      <c r="AD41" s="29"/>
      <c r="AE41" s="45" t="e">
        <f>IF(X98=11,4,)</f>
        <v>#NUM!</v>
      </c>
      <c r="AF41" s="45" t="e">
        <f>IF(P100=11,4,)</f>
        <v>#NUM!</v>
      </c>
      <c r="AH41" s="120"/>
      <c r="AI41" s="120">
        <v>0</v>
      </c>
      <c r="AJ41" s="121"/>
      <c r="AK41" s="121" t="e">
        <f t="shared" si="7"/>
        <v>#VALUE!</v>
      </c>
      <c r="AL41" s="124"/>
      <c r="AM41" s="121" t="e">
        <f t="shared" si="8"/>
        <v>#VALUE!</v>
      </c>
      <c r="AN41" s="121">
        <f t="shared" si="4"/>
        <v>0</v>
      </c>
      <c r="AO41" s="121">
        <f t="shared" si="4"/>
      </c>
      <c r="AP41" s="121">
        <f t="shared" si="4"/>
        <v>0</v>
      </c>
      <c r="AQ41" s="121">
        <f t="shared" si="4"/>
      </c>
    </row>
    <row r="42" spans="2:43" s="26" customFormat="1" ht="13.5" customHeight="1">
      <c r="B42" s="26" t="s">
        <v>170</v>
      </c>
      <c r="E42" s="27"/>
      <c r="F42" s="28"/>
      <c r="G42" s="29">
        <f t="shared" si="0"/>
      </c>
      <c r="H42" s="29"/>
      <c r="I42" s="29"/>
      <c r="J42" s="29"/>
      <c r="K42" s="29"/>
      <c r="L42" s="29"/>
      <c r="M42" s="29"/>
      <c r="N42" s="30"/>
      <c r="O42" s="30">
        <f t="shared" si="1"/>
        <v>0</v>
      </c>
      <c r="P42" s="26">
        <f t="shared" si="2"/>
        <v>0</v>
      </c>
      <c r="S42" s="26" t="s">
        <v>289</v>
      </c>
      <c r="V42" s="27"/>
      <c r="W42" s="28"/>
      <c r="X42" s="29">
        <f t="shared" si="3"/>
      </c>
      <c r="Y42" s="29"/>
      <c r="Z42" s="29"/>
      <c r="AA42" s="29"/>
      <c r="AB42" s="29"/>
      <c r="AC42" s="29"/>
      <c r="AD42" s="29"/>
      <c r="AE42" s="45" t="e">
        <f>IF(X98=12,4,)</f>
        <v>#NUM!</v>
      </c>
      <c r="AF42" s="45" t="e">
        <f>IF(P100=12,4,)</f>
        <v>#NUM!</v>
      </c>
      <c r="AH42" s="120">
        <v>0</v>
      </c>
      <c r="AI42" s="120">
        <v>0</v>
      </c>
      <c r="AJ42" s="121" t="e">
        <f>LOG(4*G42+1)*AH42</f>
        <v>#VALUE!</v>
      </c>
      <c r="AK42" s="121" t="e">
        <f t="shared" si="7"/>
        <v>#VALUE!</v>
      </c>
      <c r="AL42" s="121" t="e">
        <f>LOG(4*G42+1)</f>
        <v>#VALUE!</v>
      </c>
      <c r="AM42" s="121" t="e">
        <f t="shared" si="8"/>
        <v>#VALUE!</v>
      </c>
      <c r="AN42" s="121">
        <f t="shared" si="4"/>
      </c>
      <c r="AO42" s="121">
        <f t="shared" si="4"/>
      </c>
      <c r="AP42" s="121">
        <f t="shared" si="4"/>
      </c>
      <c r="AQ42" s="121">
        <f t="shared" si="4"/>
      </c>
    </row>
    <row r="43" spans="2:43" s="26" customFormat="1" ht="13.5" customHeight="1">
      <c r="B43" s="26" t="s">
        <v>169</v>
      </c>
      <c r="E43" s="27"/>
      <c r="F43" s="28"/>
      <c r="G43" s="29">
        <f t="shared" si="0"/>
      </c>
      <c r="H43" s="29"/>
      <c r="I43" s="29"/>
      <c r="J43" s="29"/>
      <c r="K43" s="29"/>
      <c r="L43" s="29"/>
      <c r="M43" s="29"/>
      <c r="N43" s="30"/>
      <c r="O43" s="30">
        <f t="shared" si="1"/>
        <v>0</v>
      </c>
      <c r="P43" s="26">
        <f t="shared" si="2"/>
        <v>0</v>
      </c>
      <c r="R43" s="34"/>
      <c r="S43" s="34" t="s">
        <v>290</v>
      </c>
      <c r="T43" s="34"/>
      <c r="U43" s="34"/>
      <c r="V43" s="27"/>
      <c r="W43" s="40"/>
      <c r="X43" s="41">
        <f t="shared" si="3"/>
      </c>
      <c r="Y43" s="41"/>
      <c r="Z43" s="41"/>
      <c r="AA43" s="41"/>
      <c r="AB43" s="41"/>
      <c r="AC43" s="41"/>
      <c r="AD43" s="41"/>
      <c r="AE43" s="45" t="e">
        <f>IF(X98=13,5,)</f>
        <v>#NUM!</v>
      </c>
      <c r="AF43" s="45" t="e">
        <f>IF(P100=13,5,)</f>
        <v>#NUM!</v>
      </c>
      <c r="AH43" s="120">
        <v>0</v>
      </c>
      <c r="AI43" s="120">
        <v>0</v>
      </c>
      <c r="AJ43" s="121" t="e">
        <f>LOG(4*G43+1)*AH43</f>
        <v>#VALUE!</v>
      </c>
      <c r="AK43" s="121" t="e">
        <f t="shared" si="7"/>
        <v>#VALUE!</v>
      </c>
      <c r="AL43" s="121" t="e">
        <f>LOG(4*G43+1)</f>
        <v>#VALUE!</v>
      </c>
      <c r="AM43" s="121" t="e">
        <f t="shared" si="8"/>
        <v>#VALUE!</v>
      </c>
      <c r="AN43" s="121">
        <f t="shared" si="4"/>
      </c>
      <c r="AO43" s="121">
        <f t="shared" si="4"/>
      </c>
      <c r="AP43" s="121">
        <f t="shared" si="4"/>
      </c>
      <c r="AQ43" s="121">
        <f t="shared" si="4"/>
      </c>
    </row>
    <row r="44" spans="2:43" s="26" customFormat="1" ht="13.5" customHeight="1">
      <c r="B44" s="26" t="s">
        <v>106</v>
      </c>
      <c r="E44" s="27"/>
      <c r="F44" s="28"/>
      <c r="G44" s="29">
        <f t="shared" si="0"/>
      </c>
      <c r="H44" s="29"/>
      <c r="I44" s="29"/>
      <c r="J44" s="29"/>
      <c r="K44" s="29"/>
      <c r="L44" s="29"/>
      <c r="M44" s="29"/>
      <c r="N44" s="30"/>
      <c r="O44" s="30">
        <f t="shared" si="1"/>
        <v>0</v>
      </c>
      <c r="P44" s="26">
        <f t="shared" si="2"/>
        <v>0</v>
      </c>
      <c r="X44" s="26">
        <f t="shared" si="3"/>
      </c>
      <c r="AE44" s="45" t="e">
        <f>IF(X98=14,5,)</f>
        <v>#NUM!</v>
      </c>
      <c r="AF44" s="45" t="e">
        <f>IF(P100=14,5,)</f>
        <v>#NUM!</v>
      </c>
      <c r="AH44" s="120">
        <v>0</v>
      </c>
      <c r="AI44" s="120"/>
      <c r="AJ44" s="121" t="e">
        <f>LOG(4*G44+1)*AH44</f>
        <v>#VALUE!</v>
      </c>
      <c r="AK44" s="124"/>
      <c r="AL44" s="121" t="e">
        <f>LOG(4*G44+1)</f>
        <v>#VALUE!</v>
      </c>
      <c r="AM44" s="121"/>
      <c r="AN44" s="121">
        <f t="shared" si="4"/>
      </c>
      <c r="AO44" s="121">
        <f t="shared" si="4"/>
        <v>0</v>
      </c>
      <c r="AP44" s="121">
        <f t="shared" si="4"/>
      </c>
      <c r="AQ44" s="121">
        <f t="shared" si="4"/>
        <v>0</v>
      </c>
    </row>
    <row r="45" spans="1:43" s="26" customFormat="1" ht="13.5" customHeight="1">
      <c r="A45" s="34"/>
      <c r="B45" s="34" t="s">
        <v>107</v>
      </c>
      <c r="C45" s="34"/>
      <c r="D45" s="44"/>
      <c r="E45" s="42"/>
      <c r="F45" s="41"/>
      <c r="G45" s="41">
        <f t="shared" si="0"/>
      </c>
      <c r="H45" s="41"/>
      <c r="I45" s="41"/>
      <c r="J45" s="41"/>
      <c r="K45" s="41"/>
      <c r="L45" s="41"/>
      <c r="M45" s="41"/>
      <c r="N45" s="30"/>
      <c r="O45" s="30">
        <f t="shared" si="1"/>
        <v>0</v>
      </c>
      <c r="P45" s="26">
        <f t="shared" si="2"/>
        <v>0</v>
      </c>
      <c r="R45" s="33" t="s">
        <v>38</v>
      </c>
      <c r="S45" s="34"/>
      <c r="T45" s="34"/>
      <c r="U45" s="34"/>
      <c r="V45" s="27"/>
      <c r="W45" s="40"/>
      <c r="X45" s="41">
        <f t="shared" si="3"/>
      </c>
      <c r="Y45" s="41"/>
      <c r="Z45" s="41"/>
      <c r="AA45" s="41"/>
      <c r="AB45" s="41"/>
      <c r="AC45" s="41"/>
      <c r="AD45" s="41"/>
      <c r="AE45" s="45" t="e">
        <f>IF(X98=15,5,)</f>
        <v>#NUM!</v>
      </c>
      <c r="AF45" s="45" t="e">
        <f>IF(P100=15,5,)</f>
        <v>#NUM!</v>
      </c>
      <c r="AH45" s="120">
        <v>0</v>
      </c>
      <c r="AI45" s="120"/>
      <c r="AJ45" s="121" t="e">
        <f>LOG(4*G45+1)*AH45</f>
        <v>#VALUE!</v>
      </c>
      <c r="AK45" s="124"/>
      <c r="AL45" s="121" t="e">
        <f>LOG(4*G45+1)</f>
        <v>#VALUE!</v>
      </c>
      <c r="AM45" s="121"/>
      <c r="AN45" s="121">
        <f t="shared" si="4"/>
      </c>
      <c r="AO45" s="121">
        <f t="shared" si="4"/>
        <v>0</v>
      </c>
      <c r="AP45" s="121">
        <f t="shared" si="4"/>
      </c>
      <c r="AQ45" s="121">
        <f t="shared" si="4"/>
        <v>0</v>
      </c>
    </row>
    <row r="46" spans="6:43" s="26" customFormat="1" ht="13.5" customHeight="1">
      <c r="F46" s="109"/>
      <c r="G46" s="109">
        <f t="shared" si="0"/>
      </c>
      <c r="H46" s="109"/>
      <c r="I46" s="109"/>
      <c r="J46" s="109"/>
      <c r="K46" s="109"/>
      <c r="L46" s="109"/>
      <c r="M46" s="109"/>
      <c r="N46" s="30"/>
      <c r="O46" s="30">
        <f t="shared" si="1"/>
        <v>0</v>
      </c>
      <c r="P46" s="26">
        <f t="shared" si="2"/>
        <v>0</v>
      </c>
      <c r="R46" s="24" t="s">
        <v>39</v>
      </c>
      <c r="T46" s="39"/>
      <c r="W46" s="109"/>
      <c r="X46" s="109">
        <f t="shared" si="3"/>
      </c>
      <c r="Y46" s="109"/>
      <c r="Z46" s="109"/>
      <c r="AA46" s="109"/>
      <c r="AB46" s="109"/>
      <c r="AC46" s="109"/>
      <c r="AD46" s="109"/>
      <c r="AE46" s="45" t="e">
        <f>IF(X98=16,5,)</f>
        <v>#NUM!</v>
      </c>
      <c r="AF46" s="45" t="e">
        <f>IF(P100=16,5,)</f>
        <v>#NUM!</v>
      </c>
      <c r="AH46" s="120"/>
      <c r="AI46" s="120"/>
      <c r="AJ46" s="121"/>
      <c r="AK46" s="124"/>
      <c r="AL46" s="124"/>
      <c r="AM46" s="121"/>
      <c r="AN46" s="121">
        <f t="shared" si="4"/>
        <v>0</v>
      </c>
      <c r="AO46" s="121">
        <f t="shared" si="4"/>
        <v>0</v>
      </c>
      <c r="AP46" s="121">
        <f t="shared" si="4"/>
        <v>0</v>
      </c>
      <c r="AQ46" s="121">
        <f t="shared" si="4"/>
        <v>0</v>
      </c>
    </row>
    <row r="47" spans="1:43" s="26" customFormat="1" ht="13.5" customHeight="1">
      <c r="A47" s="24" t="s">
        <v>108</v>
      </c>
      <c r="F47" s="109"/>
      <c r="G47" s="109">
        <f t="shared" si="0"/>
      </c>
      <c r="H47" s="109"/>
      <c r="I47" s="109"/>
      <c r="J47" s="109"/>
      <c r="K47" s="109"/>
      <c r="L47" s="109"/>
      <c r="M47" s="109"/>
      <c r="N47" s="30"/>
      <c r="O47" s="30">
        <f t="shared" si="1"/>
        <v>0</v>
      </c>
      <c r="P47" s="26">
        <f t="shared" si="2"/>
        <v>0</v>
      </c>
      <c r="S47" s="26" t="s">
        <v>73</v>
      </c>
      <c r="V47" s="27"/>
      <c r="W47" s="28"/>
      <c r="X47" s="29">
        <f t="shared" si="3"/>
      </c>
      <c r="Y47" s="29"/>
      <c r="Z47" s="29"/>
      <c r="AA47" s="29"/>
      <c r="AB47" s="29"/>
      <c r="AC47" s="29"/>
      <c r="AD47" s="29"/>
      <c r="AE47" s="45" t="e">
        <f>IF(X98=17,6,)</f>
        <v>#NUM!</v>
      </c>
      <c r="AF47" s="45" t="e">
        <f>IF(P100=17,6,)</f>
        <v>#NUM!</v>
      </c>
      <c r="AH47" s="120"/>
      <c r="AI47" s="120">
        <v>1</v>
      </c>
      <c r="AJ47" s="121"/>
      <c r="AK47" s="121" t="e">
        <f aca="true" t="shared" si="11" ref="AK47:AK67">LOG(4*X47+1)*AI47</f>
        <v>#VALUE!</v>
      </c>
      <c r="AL47" s="124"/>
      <c r="AM47" s="121" t="e">
        <f aca="true" t="shared" si="12" ref="AM47:AM67">LOG(4*X47+1)</f>
        <v>#VALUE!</v>
      </c>
      <c r="AN47" s="121">
        <f t="shared" si="4"/>
        <v>0</v>
      </c>
      <c r="AO47" s="121">
        <f t="shared" si="4"/>
      </c>
      <c r="AP47" s="121">
        <f t="shared" si="4"/>
        <v>0</v>
      </c>
      <c r="AQ47" s="121">
        <f t="shared" si="4"/>
      </c>
    </row>
    <row r="48" spans="1:43" s="26" customFormat="1" ht="13.5" customHeight="1">
      <c r="A48" s="24" t="s">
        <v>109</v>
      </c>
      <c r="F48" s="109"/>
      <c r="G48" s="109">
        <f t="shared" si="0"/>
      </c>
      <c r="H48" s="109"/>
      <c r="I48" s="109"/>
      <c r="J48" s="109"/>
      <c r="K48" s="109"/>
      <c r="L48" s="109"/>
      <c r="M48" s="109"/>
      <c r="N48" s="30"/>
      <c r="O48" s="30">
        <f t="shared" si="1"/>
        <v>0</v>
      </c>
      <c r="P48" s="26">
        <f t="shared" si="2"/>
      </c>
      <c r="S48" s="26" t="s">
        <v>41</v>
      </c>
      <c r="U48" s="26">
        <f>IF(V48&gt;2,8,"")</f>
      </c>
      <c r="V48" s="27"/>
      <c r="W48" s="28"/>
      <c r="X48" s="29">
        <f t="shared" si="3"/>
      </c>
      <c r="Y48" s="29"/>
      <c r="Z48" s="29"/>
      <c r="AA48" s="29"/>
      <c r="AB48" s="29"/>
      <c r="AC48" s="29"/>
      <c r="AD48" s="29"/>
      <c r="AE48" s="45" t="e">
        <f>IF(X98=18,6,)</f>
        <v>#NUM!</v>
      </c>
      <c r="AF48" s="45" t="e">
        <f>IF(P100=18,6,)</f>
        <v>#NUM!</v>
      </c>
      <c r="AH48" s="120"/>
      <c r="AI48" s="120">
        <v>1</v>
      </c>
      <c r="AJ48" s="121"/>
      <c r="AK48" s="121" t="e">
        <f t="shared" si="11"/>
        <v>#VALUE!</v>
      </c>
      <c r="AL48" s="124"/>
      <c r="AM48" s="121" t="e">
        <f t="shared" si="12"/>
        <v>#VALUE!</v>
      </c>
      <c r="AN48" s="121">
        <f t="shared" si="4"/>
        <v>0</v>
      </c>
      <c r="AO48" s="121">
        <f t="shared" si="4"/>
      </c>
      <c r="AP48" s="121">
        <f t="shared" si="4"/>
        <v>0</v>
      </c>
      <c r="AQ48" s="121">
        <f t="shared" si="4"/>
      </c>
    </row>
    <row r="49" spans="2:43" s="26" customFormat="1" ht="13.5" customHeight="1">
      <c r="B49" s="26" t="s">
        <v>281</v>
      </c>
      <c r="E49" s="27"/>
      <c r="F49" s="28"/>
      <c r="G49" s="29">
        <f t="shared" si="0"/>
      </c>
      <c r="H49" s="118"/>
      <c r="I49" s="29"/>
      <c r="J49" s="29"/>
      <c r="K49" s="29"/>
      <c r="L49" s="29"/>
      <c r="M49" s="29"/>
      <c r="N49" s="30"/>
      <c r="O49" s="30">
        <f t="shared" si="1"/>
        <v>0</v>
      </c>
      <c r="P49" s="26">
        <f t="shared" si="2"/>
      </c>
      <c r="R49" s="39"/>
      <c r="S49" s="26" t="s">
        <v>43</v>
      </c>
      <c r="U49" s="26">
        <f>IF(V49&gt;2,8,"")</f>
      </c>
      <c r="V49" s="27"/>
      <c r="W49" s="28"/>
      <c r="X49" s="29">
        <f t="shared" si="3"/>
      </c>
      <c r="Y49" s="29"/>
      <c r="Z49" s="29"/>
      <c r="AA49" s="29"/>
      <c r="AB49" s="29"/>
      <c r="AC49" s="29"/>
      <c r="AD49" s="29"/>
      <c r="AE49" s="45" t="e">
        <f>IF(X98=19,6,)</f>
        <v>#NUM!</v>
      </c>
      <c r="AF49" s="45" t="e">
        <f>IF(P100=19,6,)</f>
        <v>#NUM!</v>
      </c>
      <c r="AH49" s="120">
        <v>0</v>
      </c>
      <c r="AI49" s="120">
        <v>1</v>
      </c>
      <c r="AJ49" s="121" t="e">
        <f>LOG(4*G49+1)*AH49</f>
        <v>#VALUE!</v>
      </c>
      <c r="AK49" s="121" t="e">
        <f t="shared" si="11"/>
        <v>#VALUE!</v>
      </c>
      <c r="AL49" s="121" t="e">
        <f>LOG(4*G49+1)</f>
        <v>#VALUE!</v>
      </c>
      <c r="AM49" s="121" t="e">
        <f t="shared" si="12"/>
        <v>#VALUE!</v>
      </c>
      <c r="AN49" s="121">
        <f t="shared" si="4"/>
      </c>
      <c r="AO49" s="121">
        <f t="shared" si="4"/>
      </c>
      <c r="AP49" s="121">
        <f t="shared" si="4"/>
      </c>
      <c r="AQ49" s="121">
        <f t="shared" si="4"/>
      </c>
    </row>
    <row r="50" spans="1:43" s="26" customFormat="1" ht="13.5" customHeight="1">
      <c r="A50" s="24" t="s">
        <v>297</v>
      </c>
      <c r="G50" s="26">
        <f t="shared" si="0"/>
      </c>
      <c r="N50" s="30"/>
      <c r="O50" s="30">
        <f t="shared" si="1"/>
        <v>0</v>
      </c>
      <c r="P50" s="26">
        <f>U50</f>
        <v>0</v>
      </c>
      <c r="R50" s="39"/>
      <c r="S50" s="26" t="s">
        <v>46</v>
      </c>
      <c r="V50" s="27"/>
      <c r="W50" s="28"/>
      <c r="X50" s="29">
        <f t="shared" si="3"/>
      </c>
      <c r="Y50" s="29"/>
      <c r="Z50" s="29"/>
      <c r="AA50" s="29"/>
      <c r="AB50" s="29"/>
      <c r="AC50" s="29"/>
      <c r="AD50" s="29"/>
      <c r="AE50" s="45" t="e">
        <f>IF(X98=20,6,)</f>
        <v>#NUM!</v>
      </c>
      <c r="AF50" s="45" t="e">
        <f>IF(P100=20,6,)</f>
        <v>#NUM!</v>
      </c>
      <c r="AH50" s="120"/>
      <c r="AI50" s="120">
        <v>1</v>
      </c>
      <c r="AJ50" s="121"/>
      <c r="AK50" s="121" t="e">
        <f>LOG(4*X50+1)*AI50</f>
        <v>#VALUE!</v>
      </c>
      <c r="AL50" s="124"/>
      <c r="AM50" s="121" t="e">
        <f t="shared" si="12"/>
        <v>#VALUE!</v>
      </c>
      <c r="AN50" s="121">
        <f t="shared" si="4"/>
        <v>0</v>
      </c>
      <c r="AO50" s="121">
        <f t="shared" si="4"/>
      </c>
      <c r="AP50" s="121">
        <f t="shared" si="4"/>
        <v>0</v>
      </c>
      <c r="AQ50" s="121">
        <f t="shared" si="4"/>
      </c>
    </row>
    <row r="51" spans="1:43" s="26" customFormat="1" ht="13.5" customHeight="1">
      <c r="A51" s="24" t="s">
        <v>110</v>
      </c>
      <c r="E51" s="27"/>
      <c r="F51" s="28"/>
      <c r="G51" s="29">
        <f t="shared" si="0"/>
      </c>
      <c r="H51" s="29"/>
      <c r="I51" s="29"/>
      <c r="J51" s="29"/>
      <c r="K51" s="29"/>
      <c r="L51" s="29"/>
      <c r="M51" s="29"/>
      <c r="N51" s="30"/>
      <c r="O51" s="30">
        <f t="shared" si="1"/>
        <v>0</v>
      </c>
      <c r="P51" s="26">
        <f t="shared" si="2"/>
      </c>
      <c r="R51" s="39"/>
      <c r="S51" s="26" t="s">
        <v>48</v>
      </c>
      <c r="U51" s="26">
        <f>IF(V51&gt;2,7,"")</f>
      </c>
      <c r="V51" s="27"/>
      <c r="W51" s="28"/>
      <c r="X51" s="29">
        <f t="shared" si="3"/>
      </c>
      <c r="Y51" s="29"/>
      <c r="Z51" s="29"/>
      <c r="AA51" s="29"/>
      <c r="AB51" s="29"/>
      <c r="AC51" s="29"/>
      <c r="AD51" s="29"/>
      <c r="AE51" s="45" t="e">
        <f>IF(X98=21,7,)</f>
        <v>#NUM!</v>
      </c>
      <c r="AF51" s="45" t="e">
        <f>IF(P100=21,7,)</f>
        <v>#NUM!</v>
      </c>
      <c r="AH51" s="120"/>
      <c r="AI51" s="120">
        <v>1</v>
      </c>
      <c r="AJ51" s="121"/>
      <c r="AK51" s="121" t="e">
        <f t="shared" si="11"/>
        <v>#VALUE!</v>
      </c>
      <c r="AL51" s="124"/>
      <c r="AM51" s="121" t="e">
        <f t="shared" si="12"/>
        <v>#VALUE!</v>
      </c>
      <c r="AN51" s="121">
        <f t="shared" si="4"/>
        <v>0</v>
      </c>
      <c r="AO51" s="121">
        <f t="shared" si="4"/>
      </c>
      <c r="AP51" s="121">
        <f t="shared" si="4"/>
        <v>0</v>
      </c>
      <c r="AQ51" s="121">
        <f t="shared" si="4"/>
      </c>
    </row>
    <row r="52" spans="1:43" s="26" customFormat="1" ht="13.5" customHeight="1">
      <c r="A52" s="24" t="s">
        <v>111</v>
      </c>
      <c r="G52" s="26">
        <f t="shared" si="0"/>
      </c>
      <c r="L52" s="77" t="s">
        <v>179</v>
      </c>
      <c r="M52" s="75"/>
      <c r="N52" s="30"/>
      <c r="O52" s="30">
        <f t="shared" si="1"/>
        <v>0</v>
      </c>
      <c r="P52" s="26">
        <f t="shared" si="2"/>
      </c>
      <c r="S52" s="26" t="s">
        <v>54</v>
      </c>
      <c r="U52" s="26">
        <f>IF(V52&gt;2,7,"")</f>
      </c>
      <c r="V52" s="27"/>
      <c r="W52" s="28"/>
      <c r="X52" s="29">
        <f t="shared" si="3"/>
      </c>
      <c r="Y52" s="29"/>
      <c r="Z52" s="29"/>
      <c r="AA52" s="29"/>
      <c r="AB52" s="29"/>
      <c r="AC52" s="29"/>
      <c r="AD52" s="29"/>
      <c r="AE52" s="45" t="e">
        <f>IF(X98=22,7,)</f>
        <v>#NUM!</v>
      </c>
      <c r="AF52" s="45" t="e">
        <f>IF(P100=22,7,)</f>
        <v>#NUM!</v>
      </c>
      <c r="AH52" s="120"/>
      <c r="AI52" s="120">
        <v>1</v>
      </c>
      <c r="AJ52" s="121"/>
      <c r="AK52" s="121" t="e">
        <f t="shared" si="11"/>
        <v>#VALUE!</v>
      </c>
      <c r="AL52" s="124"/>
      <c r="AM52" s="121" t="e">
        <f t="shared" si="12"/>
        <v>#VALUE!</v>
      </c>
      <c r="AN52" s="121">
        <f t="shared" si="4"/>
        <v>0</v>
      </c>
      <c r="AO52" s="121">
        <f t="shared" si="4"/>
      </c>
      <c r="AP52" s="121">
        <f t="shared" si="4"/>
        <v>0</v>
      </c>
      <c r="AQ52" s="121">
        <f t="shared" si="4"/>
      </c>
    </row>
    <row r="53" spans="1:43" s="26" customFormat="1" ht="13.5" customHeight="1">
      <c r="A53" s="24"/>
      <c r="B53" s="26" t="s">
        <v>168</v>
      </c>
      <c r="E53" s="27"/>
      <c r="F53" s="28"/>
      <c r="G53" s="29">
        <f t="shared" si="0"/>
      </c>
      <c r="H53" s="29"/>
      <c r="I53" s="29"/>
      <c r="J53" s="29"/>
      <c r="K53" s="29"/>
      <c r="L53" s="29"/>
      <c r="M53" s="29"/>
      <c r="N53" s="30"/>
      <c r="O53" s="30">
        <f t="shared" si="1"/>
        <v>0</v>
      </c>
      <c r="P53" s="26">
        <f t="shared" si="2"/>
        <v>0</v>
      </c>
      <c r="S53" s="26" t="s">
        <v>57</v>
      </c>
      <c r="V53" s="27"/>
      <c r="W53" s="28"/>
      <c r="X53" s="29">
        <f t="shared" si="3"/>
      </c>
      <c r="Y53" s="29"/>
      <c r="Z53" s="29"/>
      <c r="AA53" s="29"/>
      <c r="AB53" s="29"/>
      <c r="AC53" s="29"/>
      <c r="AD53" s="29"/>
      <c r="AE53" s="45" t="e">
        <f>IF(X98=23,7,)</f>
        <v>#NUM!</v>
      </c>
      <c r="AF53" s="45" t="e">
        <f>IF(P100=23,7,)</f>
        <v>#NUM!</v>
      </c>
      <c r="AH53" s="120"/>
      <c r="AI53" s="120">
        <v>1</v>
      </c>
      <c r="AJ53" s="121"/>
      <c r="AK53" s="121" t="e">
        <f t="shared" si="11"/>
        <v>#VALUE!</v>
      </c>
      <c r="AL53" s="124"/>
      <c r="AM53" s="121" t="e">
        <f t="shared" si="12"/>
        <v>#VALUE!</v>
      </c>
      <c r="AN53" s="121">
        <f t="shared" si="4"/>
        <v>0</v>
      </c>
      <c r="AO53" s="121">
        <f t="shared" si="4"/>
      </c>
      <c r="AP53" s="121">
        <f t="shared" si="4"/>
        <v>0</v>
      </c>
      <c r="AQ53" s="121">
        <f t="shared" si="4"/>
      </c>
    </row>
    <row r="54" spans="1:43" s="26" customFormat="1" ht="13.5" customHeight="1">
      <c r="A54" s="24"/>
      <c r="B54" s="26" t="s">
        <v>112</v>
      </c>
      <c r="D54" s="26">
        <f>IF(E54&gt;9,2,"")</f>
      </c>
      <c r="E54" s="27"/>
      <c r="F54" s="28"/>
      <c r="G54" s="29">
        <f t="shared" si="0"/>
      </c>
      <c r="H54" s="29"/>
      <c r="I54" s="29"/>
      <c r="J54" s="29"/>
      <c r="K54" s="29"/>
      <c r="L54" s="76" t="s">
        <v>177</v>
      </c>
      <c r="M54" s="75"/>
      <c r="N54" s="30"/>
      <c r="O54" s="30">
        <f t="shared" si="1"/>
      </c>
      <c r="P54" s="26">
        <f t="shared" si="2"/>
      </c>
      <c r="S54" s="26" t="s">
        <v>60</v>
      </c>
      <c r="U54" s="26">
        <f>IF(V54&gt;2,3,"")</f>
      </c>
      <c r="V54" s="27"/>
      <c r="W54" s="28"/>
      <c r="X54" s="29">
        <f t="shared" si="3"/>
      </c>
      <c r="Y54" s="29"/>
      <c r="Z54" s="29"/>
      <c r="AA54" s="29"/>
      <c r="AB54" s="29"/>
      <c r="AC54" s="29"/>
      <c r="AD54" s="29"/>
      <c r="AE54" s="45" t="e">
        <f>IF(X98=24,7,)</f>
        <v>#NUM!</v>
      </c>
      <c r="AF54" s="45" t="e">
        <f>IF(P100=24,7,)</f>
        <v>#NUM!</v>
      </c>
      <c r="AH54" s="120">
        <v>0</v>
      </c>
      <c r="AI54" s="120">
        <v>0</v>
      </c>
      <c r="AJ54" s="121" t="e">
        <f>LOG(4*G54+1)*AH54</f>
        <v>#VALUE!</v>
      </c>
      <c r="AK54" s="121" t="e">
        <f t="shared" si="11"/>
        <v>#VALUE!</v>
      </c>
      <c r="AL54" s="121" t="e">
        <f>LOG(4*G54+1)</f>
        <v>#VALUE!</v>
      </c>
      <c r="AM54" s="121" t="e">
        <f t="shared" si="12"/>
        <v>#VALUE!</v>
      </c>
      <c r="AN54" s="121">
        <f t="shared" si="4"/>
      </c>
      <c r="AO54" s="121">
        <f t="shared" si="4"/>
      </c>
      <c r="AP54" s="121">
        <f t="shared" si="4"/>
      </c>
      <c r="AQ54" s="121">
        <f t="shared" si="4"/>
      </c>
    </row>
    <row r="55" spans="1:43" s="26" customFormat="1" ht="13.5" customHeight="1">
      <c r="A55" s="24"/>
      <c r="B55" s="26" t="s">
        <v>113</v>
      </c>
      <c r="E55" s="27"/>
      <c r="F55" s="28"/>
      <c r="G55" s="29">
        <f t="shared" si="0"/>
      </c>
      <c r="H55" s="29"/>
      <c r="I55" s="29"/>
      <c r="J55" s="29"/>
      <c r="K55" s="29"/>
      <c r="L55" s="29"/>
      <c r="M55" s="29"/>
      <c r="N55" s="30"/>
      <c r="O55" s="30">
        <f t="shared" si="1"/>
        <v>0</v>
      </c>
      <c r="P55" s="26">
        <f t="shared" si="2"/>
      </c>
      <c r="S55" s="26" t="s">
        <v>63</v>
      </c>
      <c r="U55" s="26">
        <f>IF(V55&gt;2,5,"")</f>
      </c>
      <c r="V55" s="27"/>
      <c r="W55" s="28"/>
      <c r="X55" s="29">
        <f t="shared" si="3"/>
      </c>
      <c r="Y55" s="29"/>
      <c r="Z55" s="29"/>
      <c r="AA55" s="29"/>
      <c r="AB55" s="29"/>
      <c r="AC55" s="29"/>
      <c r="AD55" s="29"/>
      <c r="AE55" s="45" t="e">
        <f>IF(X98=25,8,)</f>
        <v>#NUM!</v>
      </c>
      <c r="AF55" s="45" t="e">
        <f>IF(P100=25,8,)</f>
        <v>#NUM!</v>
      </c>
      <c r="AH55" s="120"/>
      <c r="AI55" s="120">
        <v>1</v>
      </c>
      <c r="AJ55" s="121"/>
      <c r="AK55" s="121" t="e">
        <f t="shared" si="11"/>
        <v>#VALUE!</v>
      </c>
      <c r="AL55" s="124"/>
      <c r="AM55" s="121" t="e">
        <f t="shared" si="12"/>
        <v>#VALUE!</v>
      </c>
      <c r="AN55" s="121">
        <f t="shared" si="4"/>
        <v>0</v>
      </c>
      <c r="AO55" s="121">
        <f t="shared" si="4"/>
      </c>
      <c r="AP55" s="121">
        <f t="shared" si="4"/>
        <v>0</v>
      </c>
      <c r="AQ55" s="121">
        <f t="shared" si="4"/>
      </c>
    </row>
    <row r="56" spans="1:43" s="26" customFormat="1" ht="13.5" customHeight="1">
      <c r="A56" s="24" t="s">
        <v>114</v>
      </c>
      <c r="E56" s="39"/>
      <c r="G56" s="26">
        <f t="shared" si="0"/>
      </c>
      <c r="N56" s="30"/>
      <c r="O56" s="30">
        <f t="shared" si="1"/>
        <v>0</v>
      </c>
      <c r="P56" s="26">
        <f t="shared" si="2"/>
      </c>
      <c r="S56" s="26" t="s">
        <v>4</v>
      </c>
      <c r="U56" s="26">
        <f>IF(V56&gt;2,6,"")</f>
      </c>
      <c r="V56" s="27"/>
      <c r="W56" s="28"/>
      <c r="X56" s="29">
        <f t="shared" si="3"/>
      </c>
      <c r="Y56" s="29"/>
      <c r="Z56" s="29"/>
      <c r="AA56" s="29"/>
      <c r="AB56" s="29"/>
      <c r="AC56" s="29"/>
      <c r="AD56" s="29"/>
      <c r="AE56" s="45" t="e">
        <f>IF(X98=26,8,)</f>
        <v>#NUM!</v>
      </c>
      <c r="AF56" s="45" t="e">
        <f>IF(P100=26,8,)</f>
        <v>#NUM!</v>
      </c>
      <c r="AH56" s="120"/>
      <c r="AI56" s="120">
        <v>1</v>
      </c>
      <c r="AJ56" s="121"/>
      <c r="AK56" s="121" t="e">
        <f t="shared" si="11"/>
        <v>#VALUE!</v>
      </c>
      <c r="AL56" s="124"/>
      <c r="AM56" s="121" t="e">
        <f t="shared" si="12"/>
        <v>#VALUE!</v>
      </c>
      <c r="AN56" s="121">
        <f t="shared" si="4"/>
        <v>0</v>
      </c>
      <c r="AO56" s="121">
        <f t="shared" si="4"/>
      </c>
      <c r="AP56" s="121">
        <f t="shared" si="4"/>
        <v>0</v>
      </c>
      <c r="AQ56" s="121">
        <f t="shared" si="4"/>
      </c>
    </row>
    <row r="57" spans="2:43" s="26" customFormat="1" ht="13.5" customHeight="1">
      <c r="B57" s="26" t="s">
        <v>115</v>
      </c>
      <c r="D57" s="26">
        <f>IF(E57&gt;9,1,"")</f>
      </c>
      <c r="E57" s="27"/>
      <c r="F57" s="28"/>
      <c r="G57" s="29">
        <f t="shared" si="0"/>
      </c>
      <c r="H57" s="29"/>
      <c r="I57" s="29"/>
      <c r="J57" s="29"/>
      <c r="K57" s="29"/>
      <c r="L57" s="29"/>
      <c r="M57" s="29"/>
      <c r="N57" s="30"/>
      <c r="O57" s="30">
        <f t="shared" si="1"/>
      </c>
      <c r="P57" s="26">
        <f t="shared" si="2"/>
      </c>
      <c r="S57" s="26" t="s">
        <v>9</v>
      </c>
      <c r="U57" s="26">
        <f>IF(V57&gt;2,4,"")</f>
      </c>
      <c r="V57" s="27"/>
      <c r="W57" s="28"/>
      <c r="X57" s="29">
        <f t="shared" si="3"/>
      </c>
      <c r="Y57" s="29"/>
      <c r="Z57" s="29"/>
      <c r="AA57" s="29"/>
      <c r="AB57" s="29"/>
      <c r="AC57" s="29"/>
      <c r="AD57" s="29"/>
      <c r="AE57" s="45" t="e">
        <f>IF(X98=27,8,)</f>
        <v>#NUM!</v>
      </c>
      <c r="AF57" s="45" t="e">
        <f>IF(P100=27,8,)</f>
        <v>#NUM!</v>
      </c>
      <c r="AH57" s="120">
        <v>0</v>
      </c>
      <c r="AI57" s="120">
        <v>0</v>
      </c>
      <c r="AJ57" s="121" t="e">
        <f>LOG(4*G57+1)*AH57</f>
        <v>#VALUE!</v>
      </c>
      <c r="AK57" s="121" t="e">
        <f t="shared" si="11"/>
        <v>#VALUE!</v>
      </c>
      <c r="AL57" s="121" t="e">
        <f>LOG(4*G57+1)</f>
        <v>#VALUE!</v>
      </c>
      <c r="AM57" s="121" t="e">
        <f t="shared" si="12"/>
        <v>#VALUE!</v>
      </c>
      <c r="AN57" s="121">
        <f t="shared" si="4"/>
      </c>
      <c r="AO57" s="121">
        <f t="shared" si="4"/>
      </c>
      <c r="AP57" s="121">
        <f t="shared" si="4"/>
      </c>
      <c r="AQ57" s="121">
        <f t="shared" si="4"/>
      </c>
    </row>
    <row r="58" spans="2:43" s="26" customFormat="1" ht="13.5" customHeight="1">
      <c r="B58" s="26" t="s">
        <v>171</v>
      </c>
      <c r="E58" s="27"/>
      <c r="F58" s="28"/>
      <c r="G58" s="29">
        <f t="shared" si="0"/>
      </c>
      <c r="H58" s="29"/>
      <c r="I58" s="29"/>
      <c r="J58" s="29"/>
      <c r="K58" s="29"/>
      <c r="L58" s="29"/>
      <c r="M58" s="29"/>
      <c r="N58" s="30"/>
      <c r="O58" s="30">
        <f t="shared" si="1"/>
        <v>0</v>
      </c>
      <c r="P58" s="26">
        <f t="shared" si="2"/>
      </c>
      <c r="S58" s="26" t="s">
        <v>18</v>
      </c>
      <c r="U58" s="26">
        <f>IF(V58&gt;9,3,"")</f>
      </c>
      <c r="V58" s="27"/>
      <c r="W58" s="28"/>
      <c r="X58" s="29">
        <f t="shared" si="3"/>
      </c>
      <c r="Y58" s="29"/>
      <c r="Z58" s="29"/>
      <c r="AA58" s="29"/>
      <c r="AB58" s="29"/>
      <c r="AC58" s="29"/>
      <c r="AD58" s="29"/>
      <c r="AE58" s="45" t="e">
        <f>IF(X98=28,8,)</f>
        <v>#NUM!</v>
      </c>
      <c r="AF58" s="45" t="e">
        <f>IF(P100=28,8,)</f>
        <v>#NUM!</v>
      </c>
      <c r="AH58" s="120"/>
      <c r="AI58" s="120">
        <v>1</v>
      </c>
      <c r="AJ58" s="121"/>
      <c r="AK58" s="121" t="e">
        <f t="shared" si="11"/>
        <v>#VALUE!</v>
      </c>
      <c r="AL58" s="124"/>
      <c r="AM58" s="121" t="e">
        <f t="shared" si="12"/>
        <v>#VALUE!</v>
      </c>
      <c r="AN58" s="121">
        <f t="shared" si="4"/>
        <v>0</v>
      </c>
      <c r="AO58" s="121">
        <f t="shared" si="4"/>
      </c>
      <c r="AP58" s="121">
        <f t="shared" si="4"/>
        <v>0</v>
      </c>
      <c r="AQ58" s="121">
        <f t="shared" si="4"/>
      </c>
    </row>
    <row r="59" spans="1:43" s="26" customFormat="1" ht="13.5" customHeight="1">
      <c r="A59" s="24" t="s">
        <v>116</v>
      </c>
      <c r="E59" s="39"/>
      <c r="G59" s="26">
        <f t="shared" si="0"/>
      </c>
      <c r="N59" s="30"/>
      <c r="O59" s="30">
        <f t="shared" si="1"/>
        <v>0</v>
      </c>
      <c r="P59" s="26">
        <f>U59</f>
        <v>0</v>
      </c>
      <c r="S59" s="26" t="s">
        <v>24</v>
      </c>
      <c r="V59" s="27"/>
      <c r="W59" s="28"/>
      <c r="X59" s="29">
        <f t="shared" si="3"/>
      </c>
      <c r="Y59" s="29"/>
      <c r="Z59" s="29"/>
      <c r="AA59" s="29"/>
      <c r="AB59" s="29"/>
      <c r="AC59" s="29"/>
      <c r="AD59" s="29"/>
      <c r="AE59" s="45" t="e">
        <f>IF(X98=29,9,)</f>
        <v>#NUM!</v>
      </c>
      <c r="AF59" s="45" t="e">
        <f>IF(P100=29,9,)</f>
        <v>#NUM!</v>
      </c>
      <c r="AH59" s="120"/>
      <c r="AI59" s="120">
        <v>1</v>
      </c>
      <c r="AJ59" s="121"/>
      <c r="AK59" s="121" t="e">
        <f t="shared" si="11"/>
        <v>#VALUE!</v>
      </c>
      <c r="AL59" s="124"/>
      <c r="AM59" s="121" t="e">
        <f t="shared" si="12"/>
        <v>#VALUE!</v>
      </c>
      <c r="AN59" s="121">
        <f t="shared" si="4"/>
        <v>0</v>
      </c>
      <c r="AO59" s="121">
        <f t="shared" si="4"/>
      </c>
      <c r="AP59" s="121">
        <f t="shared" si="4"/>
        <v>0</v>
      </c>
      <c r="AQ59" s="121">
        <f t="shared" si="4"/>
      </c>
    </row>
    <row r="60" spans="2:43" s="26" customFormat="1" ht="13.5" customHeight="1">
      <c r="B60" s="26" t="s">
        <v>172</v>
      </c>
      <c r="E60" s="27"/>
      <c r="F60" s="28"/>
      <c r="G60" s="29">
        <f t="shared" si="0"/>
      </c>
      <c r="H60" s="29"/>
      <c r="I60" s="29"/>
      <c r="J60" s="29"/>
      <c r="K60" s="29"/>
      <c r="L60" s="29"/>
      <c r="M60" s="29"/>
      <c r="N60" s="30"/>
      <c r="O60" s="30">
        <f t="shared" si="1"/>
        <v>0</v>
      </c>
      <c r="P60" s="26">
        <f t="shared" si="2"/>
      </c>
      <c r="S60" s="26" t="s">
        <v>26</v>
      </c>
      <c r="U60" s="26">
        <f>IF(V60&gt;2,7,"")</f>
      </c>
      <c r="V60" s="27"/>
      <c r="W60" s="28"/>
      <c r="X60" s="29">
        <f t="shared" si="3"/>
      </c>
      <c r="Y60" s="29"/>
      <c r="Z60" s="29"/>
      <c r="AA60" s="29"/>
      <c r="AB60" s="29"/>
      <c r="AC60" s="29"/>
      <c r="AD60" s="29"/>
      <c r="AE60" s="45" t="e">
        <f>IF(X98=30,9,)</f>
        <v>#NUM!</v>
      </c>
      <c r="AF60" s="45" t="e">
        <f>IF(P100=30,9,)</f>
        <v>#NUM!</v>
      </c>
      <c r="AH60" s="120"/>
      <c r="AI60" s="120">
        <v>1</v>
      </c>
      <c r="AJ60" s="121"/>
      <c r="AK60" s="121" t="e">
        <f t="shared" si="11"/>
        <v>#VALUE!</v>
      </c>
      <c r="AL60" s="124"/>
      <c r="AM60" s="121" t="e">
        <f t="shared" si="12"/>
        <v>#VALUE!</v>
      </c>
      <c r="AN60" s="121">
        <f t="shared" si="4"/>
        <v>0</v>
      </c>
      <c r="AO60" s="121">
        <f t="shared" si="4"/>
      </c>
      <c r="AP60" s="121">
        <f t="shared" si="4"/>
        <v>0</v>
      </c>
      <c r="AQ60" s="121">
        <f t="shared" si="4"/>
      </c>
    </row>
    <row r="61" spans="1:43" s="26" customFormat="1" ht="13.5" customHeight="1">
      <c r="A61" s="24" t="s">
        <v>117</v>
      </c>
      <c r="E61" s="39"/>
      <c r="G61" s="26">
        <f t="shared" si="0"/>
      </c>
      <c r="N61" s="30"/>
      <c r="O61" s="30">
        <f t="shared" si="1"/>
        <v>0</v>
      </c>
      <c r="P61" s="26">
        <f t="shared" si="2"/>
      </c>
      <c r="S61" s="26" t="s">
        <v>27</v>
      </c>
      <c r="U61" s="26">
        <f>IF(V61&gt;2,8,"")</f>
      </c>
      <c r="V61" s="27"/>
      <c r="W61" s="28"/>
      <c r="X61" s="29">
        <f t="shared" si="3"/>
      </c>
      <c r="Y61" s="29"/>
      <c r="Z61" s="29"/>
      <c r="AA61" s="29"/>
      <c r="AB61" s="29"/>
      <c r="AC61" s="29"/>
      <c r="AD61" s="29"/>
      <c r="AE61" s="45" t="e">
        <f>IF(X98=31,9,)</f>
        <v>#NUM!</v>
      </c>
      <c r="AF61" s="45" t="e">
        <f>IF(P100=31,9,)</f>
        <v>#NUM!</v>
      </c>
      <c r="AH61" s="120"/>
      <c r="AI61" s="120">
        <v>1</v>
      </c>
      <c r="AJ61" s="121"/>
      <c r="AK61" s="121" t="e">
        <f t="shared" si="11"/>
        <v>#VALUE!</v>
      </c>
      <c r="AL61" s="124"/>
      <c r="AM61" s="121" t="e">
        <f t="shared" si="12"/>
        <v>#VALUE!</v>
      </c>
      <c r="AN61" s="121">
        <f t="shared" si="4"/>
        <v>0</v>
      </c>
      <c r="AO61" s="121">
        <f t="shared" si="4"/>
      </c>
      <c r="AP61" s="121">
        <f t="shared" si="4"/>
        <v>0</v>
      </c>
      <c r="AQ61" s="121">
        <f t="shared" si="4"/>
      </c>
    </row>
    <row r="62" spans="1:43" s="26" customFormat="1" ht="13.5" customHeight="1">
      <c r="A62" s="24"/>
      <c r="B62" s="26" t="s">
        <v>118</v>
      </c>
      <c r="E62" s="27"/>
      <c r="F62" s="68"/>
      <c r="G62" s="29">
        <f t="shared" si="0"/>
      </c>
      <c r="H62" s="69"/>
      <c r="I62" s="69"/>
      <c r="J62" s="69"/>
      <c r="K62" s="69"/>
      <c r="L62" s="69"/>
      <c r="M62" s="69"/>
      <c r="N62" s="30"/>
      <c r="O62" s="30">
        <f t="shared" si="1"/>
        <v>0</v>
      </c>
      <c r="P62" s="26">
        <f t="shared" si="2"/>
        <v>0</v>
      </c>
      <c r="S62" s="26" t="s">
        <v>28</v>
      </c>
      <c r="V62" s="27"/>
      <c r="W62" s="28"/>
      <c r="X62" s="29">
        <f t="shared" si="3"/>
      </c>
      <c r="Y62" s="29"/>
      <c r="Z62" s="29"/>
      <c r="AA62" s="29"/>
      <c r="AB62" s="29"/>
      <c r="AC62" s="29"/>
      <c r="AD62" s="29"/>
      <c r="AE62" s="45" t="e">
        <f>IF(X98=32,9,)</f>
        <v>#NUM!</v>
      </c>
      <c r="AF62" s="45" t="e">
        <f>IF(P100=32,9,)</f>
        <v>#NUM!</v>
      </c>
      <c r="AH62" s="120"/>
      <c r="AI62" s="120">
        <v>1</v>
      </c>
      <c r="AJ62" s="121"/>
      <c r="AK62" s="121" t="e">
        <f t="shared" si="11"/>
        <v>#VALUE!</v>
      </c>
      <c r="AL62" s="124"/>
      <c r="AM62" s="121" t="e">
        <f t="shared" si="12"/>
        <v>#VALUE!</v>
      </c>
      <c r="AN62" s="121">
        <f t="shared" si="4"/>
        <v>0</v>
      </c>
      <c r="AO62" s="121">
        <f t="shared" si="4"/>
      </c>
      <c r="AP62" s="121">
        <f t="shared" si="4"/>
        <v>0</v>
      </c>
      <c r="AQ62" s="121">
        <f t="shared" si="4"/>
      </c>
    </row>
    <row r="63" spans="1:43" s="26" customFormat="1" ht="13.5" customHeight="1">
      <c r="A63" s="43"/>
      <c r="B63" s="34" t="s">
        <v>173</v>
      </c>
      <c r="C63" s="34"/>
      <c r="D63" s="34"/>
      <c r="E63" s="42"/>
      <c r="F63" s="41"/>
      <c r="G63" s="41">
        <f t="shared" si="0"/>
      </c>
      <c r="H63" s="41"/>
      <c r="I63" s="41"/>
      <c r="J63" s="41"/>
      <c r="K63" s="41"/>
      <c r="L63" s="41"/>
      <c r="M63" s="41"/>
      <c r="N63" s="30"/>
      <c r="O63" s="30">
        <f t="shared" si="1"/>
        <v>0</v>
      </c>
      <c r="P63" s="26">
        <f t="shared" si="2"/>
      </c>
      <c r="S63" s="26" t="s">
        <v>33</v>
      </c>
      <c r="U63" s="26">
        <f>IF(V63&gt;2,4,"")</f>
      </c>
      <c r="V63" s="27"/>
      <c r="W63" s="28"/>
      <c r="X63" s="29">
        <f t="shared" si="3"/>
      </c>
      <c r="Y63" s="29"/>
      <c r="Z63" s="29"/>
      <c r="AA63" s="29"/>
      <c r="AB63" s="29"/>
      <c r="AC63" s="29"/>
      <c r="AD63" s="29"/>
      <c r="AE63" s="45" t="e">
        <f>IF(X98=33,10,)</f>
        <v>#NUM!</v>
      </c>
      <c r="AF63" s="45" t="e">
        <f>IF(P100=33,10,)</f>
        <v>#NUM!</v>
      </c>
      <c r="AH63" s="120"/>
      <c r="AI63" s="120">
        <v>1</v>
      </c>
      <c r="AJ63" s="121"/>
      <c r="AK63" s="121" t="e">
        <f t="shared" si="11"/>
        <v>#VALUE!</v>
      </c>
      <c r="AL63" s="124"/>
      <c r="AM63" s="121" t="e">
        <f t="shared" si="12"/>
        <v>#VALUE!</v>
      </c>
      <c r="AN63" s="121">
        <f t="shared" si="4"/>
        <v>0</v>
      </c>
      <c r="AO63" s="121">
        <f t="shared" si="4"/>
      </c>
      <c r="AP63" s="121">
        <f t="shared" si="4"/>
        <v>0</v>
      </c>
      <c r="AQ63" s="121">
        <f t="shared" si="4"/>
      </c>
    </row>
    <row r="64" spans="1:43" s="26" customFormat="1" ht="13.5" customHeight="1">
      <c r="A64" s="24" t="s">
        <v>119</v>
      </c>
      <c r="F64" s="109"/>
      <c r="G64" s="109">
        <f t="shared" si="0"/>
      </c>
      <c r="H64" s="109"/>
      <c r="I64" s="109"/>
      <c r="J64" s="109"/>
      <c r="K64" s="109"/>
      <c r="L64" s="109"/>
      <c r="M64" s="109"/>
      <c r="N64" s="30"/>
      <c r="O64" s="30">
        <f t="shared" si="1"/>
        <v>0</v>
      </c>
      <c r="P64" s="26">
        <f t="shared" si="2"/>
      </c>
      <c r="S64" s="26" t="s">
        <v>37</v>
      </c>
      <c r="U64" s="26">
        <f>IF(V64&gt;2,4,"")</f>
      </c>
      <c r="V64" s="27"/>
      <c r="W64" s="28"/>
      <c r="X64" s="29">
        <f t="shared" si="3"/>
      </c>
      <c r="Y64" s="29"/>
      <c r="Z64" s="29"/>
      <c r="AA64" s="29"/>
      <c r="AB64" s="29"/>
      <c r="AC64" s="29"/>
      <c r="AD64" s="29"/>
      <c r="AE64" s="45" t="e">
        <f>IF(X98=34,10,)</f>
        <v>#NUM!</v>
      </c>
      <c r="AF64" s="45" t="e">
        <f>IF(P100=34,10,)</f>
        <v>#NUM!</v>
      </c>
      <c r="AH64" s="120"/>
      <c r="AI64" s="120">
        <v>1</v>
      </c>
      <c r="AJ64" s="121"/>
      <c r="AK64" s="121" t="e">
        <f t="shared" si="11"/>
        <v>#VALUE!</v>
      </c>
      <c r="AL64" s="124"/>
      <c r="AM64" s="121" t="e">
        <f t="shared" si="12"/>
        <v>#VALUE!</v>
      </c>
      <c r="AN64" s="121">
        <f t="shared" si="4"/>
        <v>0</v>
      </c>
      <c r="AO64" s="121">
        <f t="shared" si="4"/>
      </c>
      <c r="AP64" s="121">
        <f t="shared" si="4"/>
        <v>0</v>
      </c>
      <c r="AQ64" s="121">
        <f t="shared" si="4"/>
      </c>
    </row>
    <row r="65" spans="1:43" s="26" customFormat="1" ht="13.5" customHeight="1">
      <c r="A65" s="24" t="s">
        <v>120</v>
      </c>
      <c r="E65" s="39"/>
      <c r="F65" s="109"/>
      <c r="G65" s="109">
        <f t="shared" si="0"/>
      </c>
      <c r="H65" s="109"/>
      <c r="I65" s="109"/>
      <c r="J65" s="109"/>
      <c r="K65" s="109"/>
      <c r="L65" s="109"/>
      <c r="M65" s="109"/>
      <c r="N65" s="30"/>
      <c r="O65" s="30">
        <f t="shared" si="1"/>
        <v>0</v>
      </c>
      <c r="P65" s="26">
        <f t="shared" si="2"/>
        <v>0</v>
      </c>
      <c r="S65" s="26" t="s">
        <v>74</v>
      </c>
      <c r="V65" s="27"/>
      <c r="W65" s="28"/>
      <c r="X65" s="29">
        <f t="shared" si="3"/>
      </c>
      <c r="Y65" s="29"/>
      <c r="Z65" s="29"/>
      <c r="AA65" s="29"/>
      <c r="AB65" s="29"/>
      <c r="AC65" s="29"/>
      <c r="AD65" s="29"/>
      <c r="AE65" s="45" t="e">
        <f>IF(X98=35,10,)</f>
        <v>#NUM!</v>
      </c>
      <c r="AF65" s="45" t="e">
        <f>IF(P100=35,10,)</f>
        <v>#NUM!</v>
      </c>
      <c r="AH65" s="120"/>
      <c r="AI65" s="120">
        <v>1</v>
      </c>
      <c r="AJ65" s="121"/>
      <c r="AK65" s="121" t="e">
        <f t="shared" si="11"/>
        <v>#VALUE!</v>
      </c>
      <c r="AL65" s="124"/>
      <c r="AM65" s="121" t="e">
        <f t="shared" si="12"/>
        <v>#VALUE!</v>
      </c>
      <c r="AN65" s="121">
        <f t="shared" si="4"/>
        <v>0</v>
      </c>
      <c r="AO65" s="121">
        <f t="shared" si="4"/>
      </c>
      <c r="AP65" s="121">
        <f t="shared" si="4"/>
        <v>0</v>
      </c>
      <c r="AQ65" s="121">
        <f t="shared" si="4"/>
      </c>
    </row>
    <row r="66" spans="2:43" s="26" customFormat="1" ht="13.5" customHeight="1">
      <c r="B66" s="26" t="s">
        <v>121</v>
      </c>
      <c r="E66" s="27"/>
      <c r="F66" s="28"/>
      <c r="G66" s="29">
        <f t="shared" si="0"/>
      </c>
      <c r="H66" s="29"/>
      <c r="I66" s="29"/>
      <c r="J66" s="29"/>
      <c r="K66" s="29"/>
      <c r="L66" s="29"/>
      <c r="M66" s="29"/>
      <c r="N66" s="30"/>
      <c r="O66" s="30">
        <f t="shared" si="1"/>
        <v>0</v>
      </c>
      <c r="P66" s="26">
        <f t="shared" si="2"/>
      </c>
      <c r="S66" s="26" t="s">
        <v>40</v>
      </c>
      <c r="U66" s="26">
        <f>IF(V66&gt;2,4,"")</f>
      </c>
      <c r="V66" s="27"/>
      <c r="W66" s="28"/>
      <c r="X66" s="29">
        <f t="shared" si="3"/>
      </c>
      <c r="Y66" s="29"/>
      <c r="Z66" s="29"/>
      <c r="AA66" s="29"/>
      <c r="AB66" s="29"/>
      <c r="AC66" s="29"/>
      <c r="AD66" s="29"/>
      <c r="AE66" s="45" t="e">
        <f>IF(X98=36,10,)</f>
        <v>#NUM!</v>
      </c>
      <c r="AF66" s="45" t="e">
        <f>IF(P100=36,10,)</f>
        <v>#NUM!</v>
      </c>
      <c r="AH66" s="120">
        <v>1</v>
      </c>
      <c r="AI66" s="120">
        <v>1</v>
      </c>
      <c r="AJ66" s="121" t="e">
        <f aca="true" t="shared" si="13" ref="AJ66:AJ76">LOG(4*G66+1)*AH66</f>
        <v>#VALUE!</v>
      </c>
      <c r="AK66" s="121" t="e">
        <f t="shared" si="11"/>
        <v>#VALUE!</v>
      </c>
      <c r="AL66" s="121" t="e">
        <f>LOG(4*G66+1)</f>
        <v>#VALUE!</v>
      </c>
      <c r="AM66" s="121" t="e">
        <f t="shared" si="12"/>
        <v>#VALUE!</v>
      </c>
      <c r="AN66" s="121">
        <f t="shared" si="4"/>
      </c>
      <c r="AO66" s="121">
        <f t="shared" si="4"/>
      </c>
      <c r="AP66" s="121">
        <f t="shared" si="4"/>
      </c>
      <c r="AQ66" s="121">
        <f t="shared" si="4"/>
      </c>
    </row>
    <row r="67" spans="2:43" s="26" customFormat="1" ht="13.5" customHeight="1">
      <c r="B67" s="26" t="s">
        <v>122</v>
      </c>
      <c r="D67" s="26">
        <f>IF(E67&gt;9,2,"")</f>
      </c>
      <c r="E67" s="27"/>
      <c r="F67" s="28"/>
      <c r="G67" s="29">
        <f t="shared" si="0"/>
      </c>
      <c r="H67" s="29"/>
      <c r="I67" s="29"/>
      <c r="J67" s="29"/>
      <c r="K67" s="29"/>
      <c r="L67" s="29"/>
      <c r="M67" s="29"/>
      <c r="N67" s="30"/>
      <c r="O67" s="30">
        <f t="shared" si="1"/>
      </c>
      <c r="P67" s="26">
        <f t="shared" si="2"/>
      </c>
      <c r="R67" s="34"/>
      <c r="S67" s="34" t="s">
        <v>42</v>
      </c>
      <c r="T67" s="34"/>
      <c r="U67" s="44">
        <f>IF(V67&gt;2,6,"")</f>
      </c>
      <c r="V67" s="27"/>
      <c r="W67" s="40"/>
      <c r="X67" s="41">
        <f t="shared" si="3"/>
      </c>
      <c r="Y67" s="41"/>
      <c r="Z67" s="41"/>
      <c r="AA67" s="41"/>
      <c r="AB67" s="41"/>
      <c r="AC67" s="41"/>
      <c r="AD67" s="41"/>
      <c r="AE67" s="45" t="e">
        <f>IF(X98=37,11,)</f>
        <v>#NUM!</v>
      </c>
      <c r="AF67" s="45" t="e">
        <f>IF(P100=37,11,)</f>
        <v>#NUM!</v>
      </c>
      <c r="AH67" s="120">
        <v>1</v>
      </c>
      <c r="AI67" s="120">
        <v>0</v>
      </c>
      <c r="AJ67" s="121" t="e">
        <f t="shared" si="13"/>
        <v>#VALUE!</v>
      </c>
      <c r="AK67" s="121" t="e">
        <f t="shared" si="11"/>
        <v>#VALUE!</v>
      </c>
      <c r="AL67" s="121" t="e">
        <f aca="true" t="shared" si="14" ref="AL67:AL76">LOG(4*G67+1)</f>
        <v>#VALUE!</v>
      </c>
      <c r="AM67" s="121" t="e">
        <f t="shared" si="12"/>
        <v>#VALUE!</v>
      </c>
      <c r="AN67" s="121">
        <f t="shared" si="4"/>
      </c>
      <c r="AO67" s="121">
        <f t="shared" si="4"/>
      </c>
      <c r="AP67" s="121">
        <f t="shared" si="4"/>
      </c>
      <c r="AQ67" s="121">
        <f t="shared" si="4"/>
      </c>
    </row>
    <row r="68" spans="2:43" s="26" customFormat="1" ht="13.5" customHeight="1">
      <c r="B68" s="26" t="s">
        <v>123</v>
      </c>
      <c r="D68" s="26">
        <f>IF(E68&gt;9,2,"")</f>
      </c>
      <c r="E68" s="27"/>
      <c r="F68" s="28"/>
      <c r="G68" s="29">
        <f t="shared" si="0"/>
      </c>
      <c r="H68" s="29"/>
      <c r="I68" s="29"/>
      <c r="J68" s="29"/>
      <c r="K68" s="29"/>
      <c r="L68" s="29"/>
      <c r="M68" s="29"/>
      <c r="N68" s="30"/>
      <c r="O68" s="30">
        <f t="shared" si="1"/>
      </c>
      <c r="P68" s="26">
        <f t="shared" si="2"/>
        <v>0</v>
      </c>
      <c r="X68" s="26">
        <f t="shared" si="3"/>
      </c>
      <c r="AE68" s="45" t="e">
        <f>IF(X98=38,11,)</f>
        <v>#NUM!</v>
      </c>
      <c r="AF68" s="45" t="e">
        <f>IF(P100=38,11,)</f>
        <v>#NUM!</v>
      </c>
      <c r="AH68" s="120">
        <v>1</v>
      </c>
      <c r="AI68" s="120"/>
      <c r="AJ68" s="121" t="e">
        <f t="shared" si="13"/>
        <v>#VALUE!</v>
      </c>
      <c r="AK68" s="124"/>
      <c r="AL68" s="121" t="e">
        <f t="shared" si="14"/>
        <v>#VALUE!</v>
      </c>
      <c r="AM68" s="121"/>
      <c r="AN68" s="121">
        <f t="shared" si="4"/>
      </c>
      <c r="AO68" s="121">
        <f t="shared" si="4"/>
        <v>0</v>
      </c>
      <c r="AP68" s="121">
        <f t="shared" si="4"/>
      </c>
      <c r="AQ68" s="121">
        <f t="shared" si="4"/>
        <v>0</v>
      </c>
    </row>
    <row r="69" spans="2:43" s="26" customFormat="1" ht="13.5" customHeight="1">
      <c r="B69" s="26" t="s">
        <v>124</v>
      </c>
      <c r="D69" s="26">
        <f>IF(E69&gt;9,3,"")</f>
      </c>
      <c r="E69" s="27"/>
      <c r="F69" s="28"/>
      <c r="G69" s="29">
        <f t="shared" si="0"/>
      </c>
      <c r="H69" s="29"/>
      <c r="I69" s="29"/>
      <c r="J69" s="29"/>
      <c r="K69" s="29"/>
      <c r="L69" s="29"/>
      <c r="M69" s="29"/>
      <c r="N69" s="30"/>
      <c r="O69" s="30">
        <f t="shared" si="1"/>
      </c>
      <c r="P69" s="26">
        <f t="shared" si="2"/>
        <v>0</v>
      </c>
      <c r="R69" s="33" t="s">
        <v>44</v>
      </c>
      <c r="S69" s="34"/>
      <c r="T69" s="34"/>
      <c r="U69" s="34"/>
      <c r="V69" s="27"/>
      <c r="W69" s="40"/>
      <c r="X69" s="41">
        <f t="shared" si="3"/>
      </c>
      <c r="Y69" s="41"/>
      <c r="Z69" s="41"/>
      <c r="AA69" s="41"/>
      <c r="AB69" s="41"/>
      <c r="AC69" s="41"/>
      <c r="AD69" s="41"/>
      <c r="AE69" s="45" t="e">
        <f>IF(X98=39,11,)</f>
        <v>#NUM!</v>
      </c>
      <c r="AF69" s="45" t="e">
        <f>IF(P100=39,11,)</f>
        <v>#NUM!</v>
      </c>
      <c r="AH69" s="120">
        <v>0</v>
      </c>
      <c r="AI69" s="120"/>
      <c r="AJ69" s="121" t="e">
        <f t="shared" si="13"/>
        <v>#VALUE!</v>
      </c>
      <c r="AK69" s="124"/>
      <c r="AL69" s="121" t="e">
        <f t="shared" si="14"/>
        <v>#VALUE!</v>
      </c>
      <c r="AM69" s="121"/>
      <c r="AN69" s="121">
        <f t="shared" si="4"/>
      </c>
      <c r="AO69" s="121">
        <f t="shared" si="4"/>
        <v>0</v>
      </c>
      <c r="AP69" s="121">
        <f t="shared" si="4"/>
      </c>
      <c r="AQ69" s="121">
        <f t="shared" si="4"/>
        <v>0</v>
      </c>
    </row>
    <row r="70" spans="2:43" s="26" customFormat="1" ht="13.5" customHeight="1">
      <c r="B70" s="26" t="s">
        <v>125</v>
      </c>
      <c r="D70" s="26">
        <f>IF(E70&gt;2,6,"")</f>
      </c>
      <c r="E70" s="27"/>
      <c r="F70" s="28"/>
      <c r="G70" s="29">
        <f t="shared" si="0"/>
      </c>
      <c r="H70" s="29"/>
      <c r="I70" s="29"/>
      <c r="J70" s="29"/>
      <c r="K70" s="29"/>
      <c r="L70" s="29"/>
      <c r="M70" s="29"/>
      <c r="N70" s="30"/>
      <c r="O70" s="30">
        <f t="shared" si="1"/>
      </c>
      <c r="P70" s="26">
        <f t="shared" si="2"/>
        <v>0</v>
      </c>
      <c r="R70" s="24" t="s">
        <v>45</v>
      </c>
      <c r="W70" s="109"/>
      <c r="X70" s="109">
        <f t="shared" si="3"/>
      </c>
      <c r="Y70" s="109"/>
      <c r="Z70" s="109"/>
      <c r="AA70" s="109"/>
      <c r="AB70" s="109"/>
      <c r="AC70" s="109"/>
      <c r="AD70" s="109"/>
      <c r="AE70" s="45" t="e">
        <f>IF(X98=40,11,)</f>
        <v>#NUM!</v>
      </c>
      <c r="AF70" s="45" t="e">
        <f>IF(P100=40,11,)</f>
        <v>#NUM!</v>
      </c>
      <c r="AH70" s="120">
        <v>0</v>
      </c>
      <c r="AI70" s="120"/>
      <c r="AJ70" s="121" t="e">
        <f t="shared" si="13"/>
        <v>#VALUE!</v>
      </c>
      <c r="AK70" s="124"/>
      <c r="AL70" s="121" t="e">
        <f t="shared" si="14"/>
        <v>#VALUE!</v>
      </c>
      <c r="AM70" s="121"/>
      <c r="AN70" s="121">
        <f t="shared" si="4"/>
      </c>
      <c r="AO70" s="121">
        <f t="shared" si="4"/>
        <v>0</v>
      </c>
      <c r="AP70" s="121">
        <f t="shared" si="4"/>
      </c>
      <c r="AQ70" s="121">
        <f t="shared" si="4"/>
        <v>0</v>
      </c>
    </row>
    <row r="71" spans="2:43" s="26" customFormat="1" ht="13.5" customHeight="1">
      <c r="B71" s="26" t="s">
        <v>126</v>
      </c>
      <c r="D71" s="26">
        <f>IF(E71&gt;2,5,"")</f>
      </c>
      <c r="E71" s="27"/>
      <c r="F71" s="28"/>
      <c r="G71" s="29">
        <f t="shared" si="0"/>
      </c>
      <c r="H71" s="29"/>
      <c r="I71" s="29"/>
      <c r="J71" s="29"/>
      <c r="K71" s="29"/>
      <c r="L71" s="29"/>
      <c r="M71" s="29"/>
      <c r="N71" s="30"/>
      <c r="O71" s="30">
        <f t="shared" si="1"/>
      </c>
      <c r="P71" s="26">
        <f t="shared" si="2"/>
        <v>0</v>
      </c>
      <c r="S71" s="26" t="s">
        <v>166</v>
      </c>
      <c r="V71" s="27"/>
      <c r="W71" s="28"/>
      <c r="X71" s="29">
        <f t="shared" si="3"/>
      </c>
      <c r="Y71" s="29"/>
      <c r="Z71" s="29"/>
      <c r="AA71" s="29"/>
      <c r="AB71" s="29"/>
      <c r="AC71" s="29"/>
      <c r="AD71" s="29"/>
      <c r="AE71" s="45" t="e">
        <f>IF(X98=41,12,)</f>
        <v>#NUM!</v>
      </c>
      <c r="AF71" s="45" t="e">
        <f>IF(P100=41,12,)</f>
        <v>#NUM!</v>
      </c>
      <c r="AH71" s="120">
        <v>1</v>
      </c>
      <c r="AI71" s="120"/>
      <c r="AJ71" s="121" t="e">
        <f t="shared" si="13"/>
        <v>#VALUE!</v>
      </c>
      <c r="AK71" s="124"/>
      <c r="AL71" s="121" t="e">
        <f t="shared" si="14"/>
        <v>#VALUE!</v>
      </c>
      <c r="AM71" s="121"/>
      <c r="AN71" s="121">
        <f t="shared" si="4"/>
      </c>
      <c r="AO71" s="121">
        <f t="shared" si="4"/>
        <v>0</v>
      </c>
      <c r="AP71" s="121">
        <f t="shared" si="4"/>
      </c>
      <c r="AQ71" s="121">
        <f t="shared" si="4"/>
        <v>0</v>
      </c>
    </row>
    <row r="72" spans="2:43" s="26" customFormat="1" ht="13.5" customHeight="1">
      <c r="B72" s="26" t="s">
        <v>127</v>
      </c>
      <c r="D72" s="26">
        <f>IF(E72&gt;2,6,"")</f>
      </c>
      <c r="E72" s="27"/>
      <c r="F72" s="28"/>
      <c r="G72" s="29">
        <f t="shared" si="0"/>
      </c>
      <c r="H72" s="29"/>
      <c r="I72" s="29"/>
      <c r="J72" s="29"/>
      <c r="K72" s="29"/>
      <c r="L72" s="29"/>
      <c r="M72" s="29"/>
      <c r="N72" s="30"/>
      <c r="O72" s="30">
        <f t="shared" si="1"/>
      </c>
      <c r="P72" s="26">
        <f t="shared" si="2"/>
        <v>0</v>
      </c>
      <c r="S72" s="26" t="s">
        <v>47</v>
      </c>
      <c r="V72" s="27"/>
      <c r="W72" s="28"/>
      <c r="X72" s="29">
        <f t="shared" si="3"/>
      </c>
      <c r="Y72" s="29"/>
      <c r="Z72" s="29"/>
      <c r="AA72" s="29"/>
      <c r="AB72" s="29"/>
      <c r="AC72" s="29"/>
      <c r="AD72" s="29"/>
      <c r="AE72" s="45" t="e">
        <f>IF(X98=42,12,)</f>
        <v>#NUM!</v>
      </c>
      <c r="AF72" s="45" t="e">
        <f>IF(P100=42,12,)</f>
        <v>#NUM!</v>
      </c>
      <c r="AG72" s="45"/>
      <c r="AH72" s="120">
        <v>0</v>
      </c>
      <c r="AI72" s="120">
        <v>1</v>
      </c>
      <c r="AJ72" s="121" t="e">
        <f t="shared" si="13"/>
        <v>#VALUE!</v>
      </c>
      <c r="AK72" s="121" t="e">
        <f>LOG(4*X72+1)*AI72</f>
        <v>#VALUE!</v>
      </c>
      <c r="AL72" s="121" t="e">
        <f t="shared" si="14"/>
        <v>#VALUE!</v>
      </c>
      <c r="AM72" s="121" t="e">
        <f>LOG(4*X72+1)</f>
        <v>#VALUE!</v>
      </c>
      <c r="AN72" s="121">
        <f t="shared" si="4"/>
      </c>
      <c r="AO72" s="121">
        <f t="shared" si="4"/>
      </c>
      <c r="AP72" s="121">
        <f t="shared" si="4"/>
      </c>
      <c r="AQ72" s="121">
        <f t="shared" si="4"/>
      </c>
    </row>
    <row r="73" spans="2:43" s="26" customFormat="1" ht="13.5" customHeight="1">
      <c r="B73" s="26" t="s">
        <v>128</v>
      </c>
      <c r="E73" s="27"/>
      <c r="F73" s="28"/>
      <c r="G73" s="29">
        <f t="shared" si="0"/>
      </c>
      <c r="H73" s="29"/>
      <c r="I73" s="29"/>
      <c r="J73" s="29"/>
      <c r="K73" s="29"/>
      <c r="L73" s="29"/>
      <c r="M73" s="29"/>
      <c r="N73" s="30"/>
      <c r="O73" s="30">
        <f t="shared" si="1"/>
        <v>0</v>
      </c>
      <c r="P73" s="26">
        <f t="shared" si="2"/>
        <v>0</v>
      </c>
      <c r="S73" s="26" t="s">
        <v>49</v>
      </c>
      <c r="V73" s="27"/>
      <c r="W73" s="28"/>
      <c r="X73" s="29">
        <f t="shared" si="3"/>
      </c>
      <c r="Y73" s="29"/>
      <c r="Z73" s="29"/>
      <c r="AA73" s="29"/>
      <c r="AB73" s="29"/>
      <c r="AC73" s="29"/>
      <c r="AD73" s="29"/>
      <c r="AE73" s="45" t="e">
        <f>IF(X98=43,12,)</f>
        <v>#NUM!</v>
      </c>
      <c r="AF73" s="45" t="e">
        <f>IF(P100=43,12,)</f>
        <v>#NUM!</v>
      </c>
      <c r="AG73" s="45"/>
      <c r="AH73" s="120">
        <v>1</v>
      </c>
      <c r="AI73" s="120"/>
      <c r="AJ73" s="121" t="e">
        <f t="shared" si="13"/>
        <v>#VALUE!</v>
      </c>
      <c r="AK73" s="124"/>
      <c r="AL73" s="121" t="e">
        <f t="shared" si="14"/>
        <v>#VALUE!</v>
      </c>
      <c r="AM73" s="121"/>
      <c r="AN73" s="121">
        <f t="shared" si="4"/>
      </c>
      <c r="AO73" s="121">
        <f t="shared" si="4"/>
        <v>0</v>
      </c>
      <c r="AP73" s="121">
        <f t="shared" si="4"/>
      </c>
      <c r="AQ73" s="121">
        <f aca="true" t="shared" si="15" ref="AQ73:AQ94">IF(TYPE(AM73)=1,IF(AM73&gt;=0,AM73,""),"")</f>
        <v>0</v>
      </c>
    </row>
    <row r="74" spans="2:43" s="26" customFormat="1" ht="13.5" customHeight="1">
      <c r="B74" s="26" t="s">
        <v>129</v>
      </c>
      <c r="D74" s="26">
        <f>IF(E74&gt;2,5,"")</f>
      </c>
      <c r="E74" s="27"/>
      <c r="F74" s="28"/>
      <c r="G74" s="29">
        <f aca="true" t="shared" si="16" ref="G74:G94">IF(E74&lt;&gt;0,E74,"")</f>
      </c>
      <c r="H74" s="29"/>
      <c r="I74" s="29"/>
      <c r="J74" s="29"/>
      <c r="K74" s="29"/>
      <c r="L74" s="29"/>
      <c r="M74" s="29"/>
      <c r="N74" s="30"/>
      <c r="O74" s="30">
        <f aca="true" t="shared" si="17" ref="O74:O94">D74</f>
      </c>
      <c r="P74" s="26">
        <f aca="true" t="shared" si="18" ref="P74:P94">U74</f>
        <v>0</v>
      </c>
      <c r="S74" s="26" t="s">
        <v>50</v>
      </c>
      <c r="U74" s="24"/>
      <c r="V74" s="27"/>
      <c r="W74" s="28"/>
      <c r="X74" s="29">
        <f aca="true" t="shared" si="19" ref="X74:X94">IF(V74&lt;&gt;0,V74,"")</f>
      </c>
      <c r="Y74" s="29"/>
      <c r="Z74" s="29"/>
      <c r="AA74" s="29"/>
      <c r="AB74" s="29"/>
      <c r="AC74" s="29"/>
      <c r="AD74" s="29"/>
      <c r="AE74" s="45" t="e">
        <f>IF(X98=44,12,)</f>
        <v>#NUM!</v>
      </c>
      <c r="AF74" s="45" t="e">
        <f>IF(P100=44,12,)</f>
        <v>#NUM!</v>
      </c>
      <c r="AG74" s="45"/>
      <c r="AH74" s="120">
        <v>1</v>
      </c>
      <c r="AI74" s="120">
        <v>0</v>
      </c>
      <c r="AJ74" s="121" t="e">
        <f t="shared" si="13"/>
        <v>#VALUE!</v>
      </c>
      <c r="AK74" s="121" t="e">
        <f aca="true" t="shared" si="20" ref="AK74:AK81">LOG(4*X74+1)*AI74</f>
        <v>#VALUE!</v>
      </c>
      <c r="AL74" s="121" t="e">
        <f t="shared" si="14"/>
        <v>#VALUE!</v>
      </c>
      <c r="AM74" s="121" t="e">
        <f>LOG(4*X74+1)</f>
        <v>#VALUE!</v>
      </c>
      <c r="AN74" s="121">
        <f aca="true" t="shared" si="21" ref="AN74:AP94">IF(TYPE(AJ74)=1,IF(AJ74&gt;=0,AJ74,""),"")</f>
      </c>
      <c r="AO74" s="121">
        <f t="shared" si="21"/>
      </c>
      <c r="AP74" s="121">
        <f t="shared" si="21"/>
      </c>
      <c r="AQ74" s="121">
        <f t="shared" si="15"/>
      </c>
    </row>
    <row r="75" spans="2:43" s="26" customFormat="1" ht="13.5" customHeight="1">
      <c r="B75" s="26" t="s">
        <v>130</v>
      </c>
      <c r="D75" s="26">
        <f>IF(E75&gt;2,5,"")</f>
      </c>
      <c r="E75" s="27"/>
      <c r="F75" s="28"/>
      <c r="G75" s="29">
        <f t="shared" si="16"/>
      </c>
      <c r="H75" s="29"/>
      <c r="I75" s="29"/>
      <c r="J75" s="29"/>
      <c r="K75" s="29"/>
      <c r="L75" s="29"/>
      <c r="M75" s="29"/>
      <c r="N75" s="30"/>
      <c r="O75" s="30">
        <f t="shared" si="17"/>
      </c>
      <c r="P75" s="26">
        <f t="shared" si="18"/>
        <v>0</v>
      </c>
      <c r="S75" s="26" t="s">
        <v>51</v>
      </c>
      <c r="V75" s="27"/>
      <c r="W75" s="28"/>
      <c r="X75" s="29">
        <f t="shared" si="19"/>
      </c>
      <c r="Y75" s="29"/>
      <c r="Z75" s="29"/>
      <c r="AA75" s="29"/>
      <c r="AB75" s="29"/>
      <c r="AC75" s="29"/>
      <c r="AD75" s="29"/>
      <c r="AE75" s="45" t="e">
        <f>IF(X98=45,13,)</f>
        <v>#NUM!</v>
      </c>
      <c r="AF75" s="45" t="e">
        <f>IF(P100=45,13,)</f>
        <v>#NUM!</v>
      </c>
      <c r="AG75" s="45"/>
      <c r="AH75" s="120">
        <v>1</v>
      </c>
      <c r="AI75" s="120">
        <v>1</v>
      </c>
      <c r="AJ75" s="121" t="e">
        <f t="shared" si="13"/>
        <v>#VALUE!</v>
      </c>
      <c r="AK75" s="121" t="e">
        <f t="shared" si="20"/>
        <v>#VALUE!</v>
      </c>
      <c r="AL75" s="121" t="e">
        <f t="shared" si="14"/>
        <v>#VALUE!</v>
      </c>
      <c r="AM75" s="121" t="e">
        <f>LOG(4*X75+1)</f>
        <v>#VALUE!</v>
      </c>
      <c r="AN75" s="121">
        <f t="shared" si="21"/>
      </c>
      <c r="AO75" s="121">
        <f t="shared" si="21"/>
      </c>
      <c r="AP75" s="121">
        <f t="shared" si="21"/>
      </c>
      <c r="AQ75" s="121">
        <f t="shared" si="15"/>
      </c>
    </row>
    <row r="76" spans="1:43" s="26" customFormat="1" ht="13.5" customHeight="1">
      <c r="A76" s="34"/>
      <c r="B76" s="34" t="s">
        <v>131</v>
      </c>
      <c r="C76" s="34"/>
      <c r="D76" s="34"/>
      <c r="E76" s="42"/>
      <c r="F76" s="41"/>
      <c r="G76" s="41">
        <f t="shared" si="16"/>
      </c>
      <c r="H76" s="41"/>
      <c r="I76" s="41"/>
      <c r="J76" s="41"/>
      <c r="K76" s="41"/>
      <c r="L76" s="41"/>
      <c r="M76" s="41"/>
      <c r="N76" s="30"/>
      <c r="O76" s="30">
        <f t="shared" si="17"/>
        <v>0</v>
      </c>
      <c r="P76" s="26">
        <f t="shared" si="18"/>
      </c>
      <c r="Q76" s="24"/>
      <c r="S76" s="26" t="s">
        <v>52</v>
      </c>
      <c r="U76" s="26">
        <f>IF(V76&gt;9,1,"")</f>
      </c>
      <c r="V76" s="27"/>
      <c r="W76" s="28"/>
      <c r="X76" s="29">
        <f t="shared" si="19"/>
      </c>
      <c r="Y76" s="29"/>
      <c r="Z76" s="29"/>
      <c r="AA76" s="29"/>
      <c r="AB76" s="29"/>
      <c r="AC76" s="29"/>
      <c r="AD76" s="29"/>
      <c r="AE76" s="45" t="e">
        <f>IF(X98=46,13,)</f>
        <v>#NUM!</v>
      </c>
      <c r="AF76" s="45" t="e">
        <f>IF(P100=46,13,)</f>
        <v>#NUM!</v>
      </c>
      <c r="AG76" s="45"/>
      <c r="AH76" s="120">
        <v>1</v>
      </c>
      <c r="AI76" s="120">
        <v>0</v>
      </c>
      <c r="AJ76" s="121" t="e">
        <f t="shared" si="13"/>
        <v>#VALUE!</v>
      </c>
      <c r="AK76" s="121" t="e">
        <f t="shared" si="20"/>
        <v>#VALUE!</v>
      </c>
      <c r="AL76" s="121" t="e">
        <f t="shared" si="14"/>
        <v>#VALUE!</v>
      </c>
      <c r="AM76" s="121" t="e">
        <f>LOG(4*X76+1)</f>
        <v>#VALUE!</v>
      </c>
      <c r="AN76" s="121">
        <f t="shared" si="21"/>
      </c>
      <c r="AO76" s="121">
        <f t="shared" si="21"/>
      </c>
      <c r="AP76" s="121">
        <f t="shared" si="21"/>
      </c>
      <c r="AQ76" s="121">
        <f t="shared" si="15"/>
      </c>
    </row>
    <row r="77" spans="1:43" s="26" customFormat="1" ht="13.5" customHeight="1">
      <c r="A77" s="24" t="s">
        <v>132</v>
      </c>
      <c r="C77" s="24"/>
      <c r="D77" s="24"/>
      <c r="E77" s="39"/>
      <c r="F77" s="109"/>
      <c r="G77" s="109">
        <f t="shared" si="16"/>
      </c>
      <c r="H77" s="109"/>
      <c r="I77" s="109"/>
      <c r="J77" s="109"/>
      <c r="K77" s="109"/>
      <c r="L77" s="109"/>
      <c r="M77" s="110"/>
      <c r="N77" s="32"/>
      <c r="O77" s="30">
        <f t="shared" si="17"/>
        <v>0</v>
      </c>
      <c r="P77" s="26">
        <f t="shared" si="18"/>
        <v>0</v>
      </c>
      <c r="S77" s="26" t="s">
        <v>53</v>
      </c>
      <c r="V77" s="27"/>
      <c r="W77" s="28"/>
      <c r="X77" s="29">
        <f t="shared" si="19"/>
      </c>
      <c r="Y77" s="29"/>
      <c r="Z77" s="29"/>
      <c r="AA77" s="29"/>
      <c r="AB77" s="29"/>
      <c r="AC77" s="29"/>
      <c r="AD77" s="29"/>
      <c r="AE77" s="45" t="e">
        <f>IF(X98=47,13,)</f>
        <v>#NUM!</v>
      </c>
      <c r="AF77" s="45" t="e">
        <f>IF(P100=47,13,)</f>
        <v>#NUM!</v>
      </c>
      <c r="AG77" s="45"/>
      <c r="AH77" s="120"/>
      <c r="AI77" s="120"/>
      <c r="AJ77" s="121"/>
      <c r="AK77" s="121" t="e">
        <f t="shared" si="20"/>
        <v>#VALUE!</v>
      </c>
      <c r="AL77" s="124"/>
      <c r="AM77" s="121"/>
      <c r="AN77" s="121">
        <f t="shared" si="21"/>
        <v>0</v>
      </c>
      <c r="AO77" s="121">
        <f t="shared" si="21"/>
      </c>
      <c r="AP77" s="121">
        <f t="shared" si="21"/>
        <v>0</v>
      </c>
      <c r="AQ77" s="121">
        <f t="shared" si="15"/>
        <v>0</v>
      </c>
    </row>
    <row r="78" spans="1:43" s="24" customFormat="1" ht="13.5" customHeight="1">
      <c r="A78" s="26"/>
      <c r="B78" s="26" t="s">
        <v>133</v>
      </c>
      <c r="C78" s="26"/>
      <c r="D78" s="26"/>
      <c r="E78" s="27"/>
      <c r="F78" s="28"/>
      <c r="G78" s="29">
        <f t="shared" si="16"/>
      </c>
      <c r="H78" s="29"/>
      <c r="I78" s="29"/>
      <c r="J78" s="29"/>
      <c r="K78" s="29"/>
      <c r="L78" s="29"/>
      <c r="M78" s="29"/>
      <c r="N78" s="30"/>
      <c r="O78" s="30">
        <f t="shared" si="17"/>
        <v>0</v>
      </c>
      <c r="P78" s="26">
        <f t="shared" si="18"/>
        <v>0</v>
      </c>
      <c r="Q78" s="26"/>
      <c r="R78" s="26"/>
      <c r="S78" s="26" t="s">
        <v>153</v>
      </c>
      <c r="T78" s="26"/>
      <c r="U78" s="26"/>
      <c r="V78" s="27"/>
      <c r="W78" s="28"/>
      <c r="X78" s="29">
        <f t="shared" si="19"/>
      </c>
      <c r="Y78" s="29"/>
      <c r="Z78" s="29"/>
      <c r="AA78" s="29"/>
      <c r="AB78" s="29"/>
      <c r="AC78" s="29"/>
      <c r="AD78" s="29"/>
      <c r="AE78" s="45" t="e">
        <f>IF(X98=48,13,)</f>
        <v>#NUM!</v>
      </c>
      <c r="AF78" s="45" t="e">
        <f>IF(P100=48,13,)</f>
        <v>#NUM!</v>
      </c>
      <c r="AG78" s="45"/>
      <c r="AH78" s="120">
        <v>0</v>
      </c>
      <c r="AI78" s="120"/>
      <c r="AJ78" s="121" t="e">
        <f aca="true" t="shared" si="22" ref="AJ78:AJ86">LOG(4*G78+1)*AH78</f>
        <v>#VALUE!</v>
      </c>
      <c r="AK78" s="121" t="e">
        <f t="shared" si="20"/>
        <v>#VALUE!</v>
      </c>
      <c r="AL78" s="121" t="e">
        <f aca="true" t="shared" si="23" ref="AL78:AL86">LOG(4*G78+1)</f>
        <v>#VALUE!</v>
      </c>
      <c r="AM78" s="122"/>
      <c r="AN78" s="121">
        <f t="shared" si="21"/>
      </c>
      <c r="AO78" s="121">
        <f t="shared" si="21"/>
      </c>
      <c r="AP78" s="121">
        <f t="shared" si="21"/>
      </c>
      <c r="AQ78" s="121">
        <f t="shared" si="15"/>
        <v>0</v>
      </c>
    </row>
    <row r="79" spans="2:43" s="26" customFormat="1" ht="13.5" customHeight="1">
      <c r="B79" s="26" t="s">
        <v>134</v>
      </c>
      <c r="E79" s="27"/>
      <c r="F79" s="28"/>
      <c r="G79" s="29">
        <f t="shared" si="16"/>
      </c>
      <c r="H79" s="29"/>
      <c r="I79" s="29"/>
      <c r="J79" s="29"/>
      <c r="K79" s="29"/>
      <c r="L79" s="29"/>
      <c r="M79" s="29"/>
      <c r="N79" s="30"/>
      <c r="O79" s="30">
        <f t="shared" si="17"/>
        <v>0</v>
      </c>
      <c r="P79" s="26">
        <f t="shared" si="18"/>
        <v>0</v>
      </c>
      <c r="S79" s="26" t="s">
        <v>55</v>
      </c>
      <c r="V79" s="27"/>
      <c r="W79" s="28"/>
      <c r="X79" s="29">
        <f t="shared" si="19"/>
      </c>
      <c r="Y79" s="29"/>
      <c r="Z79" s="29"/>
      <c r="AA79" s="29"/>
      <c r="AB79" s="29"/>
      <c r="AC79" s="29"/>
      <c r="AD79" s="29"/>
      <c r="AE79" s="45" t="e">
        <f>IF(X98=49,13,)</f>
        <v>#NUM!</v>
      </c>
      <c r="AF79" s="45" t="e">
        <f>IF(P100=49,13,)</f>
        <v>#NUM!</v>
      </c>
      <c r="AG79" s="45"/>
      <c r="AH79" s="120">
        <v>1</v>
      </c>
      <c r="AI79" s="120">
        <v>1</v>
      </c>
      <c r="AJ79" s="121" t="e">
        <f t="shared" si="22"/>
        <v>#VALUE!</v>
      </c>
      <c r="AK79" s="121" t="e">
        <f t="shared" si="20"/>
        <v>#VALUE!</v>
      </c>
      <c r="AL79" s="121" t="e">
        <f t="shared" si="23"/>
        <v>#VALUE!</v>
      </c>
      <c r="AM79" s="121" t="e">
        <f>LOG(4*X79+1)</f>
        <v>#VALUE!</v>
      </c>
      <c r="AN79" s="121">
        <f t="shared" si="21"/>
      </c>
      <c r="AO79" s="121">
        <f t="shared" si="21"/>
      </c>
      <c r="AP79" s="121">
        <f t="shared" si="21"/>
      </c>
      <c r="AQ79" s="121">
        <f t="shared" si="15"/>
      </c>
    </row>
    <row r="80" spans="2:43" s="26" customFormat="1" ht="13.5" customHeight="1">
      <c r="B80" s="26" t="s">
        <v>135</v>
      </c>
      <c r="E80" s="27"/>
      <c r="F80" s="28"/>
      <c r="G80" s="29">
        <f t="shared" si="16"/>
      </c>
      <c r="H80" s="29"/>
      <c r="I80" s="29"/>
      <c r="J80" s="29"/>
      <c r="K80" s="29"/>
      <c r="L80" s="29"/>
      <c r="M80" s="29"/>
      <c r="N80" s="30"/>
      <c r="O80" s="30">
        <f t="shared" si="17"/>
        <v>0</v>
      </c>
      <c r="P80" s="26">
        <f t="shared" si="18"/>
        <v>0</v>
      </c>
      <c r="S80" s="26" t="s">
        <v>56</v>
      </c>
      <c r="T80" s="24"/>
      <c r="V80" s="27"/>
      <c r="W80" s="28"/>
      <c r="X80" s="29">
        <f t="shared" si="19"/>
      </c>
      <c r="Y80" s="29"/>
      <c r="Z80" s="29"/>
      <c r="AA80" s="29"/>
      <c r="AB80" s="29"/>
      <c r="AC80" s="29"/>
      <c r="AD80" s="29"/>
      <c r="AE80" s="45" t="e">
        <f>IF(X98&gt;49,13,)</f>
        <v>#NUM!</v>
      </c>
      <c r="AF80" s="45" t="e">
        <f>IF(P100&gt;49,13,)</f>
        <v>#NUM!</v>
      </c>
      <c r="AG80" s="45"/>
      <c r="AH80" s="120">
        <v>1</v>
      </c>
      <c r="AI80" s="120">
        <v>0</v>
      </c>
      <c r="AJ80" s="121" t="e">
        <f t="shared" si="22"/>
        <v>#VALUE!</v>
      </c>
      <c r="AK80" s="121" t="e">
        <f t="shared" si="20"/>
        <v>#VALUE!</v>
      </c>
      <c r="AL80" s="121" t="e">
        <f t="shared" si="23"/>
        <v>#VALUE!</v>
      </c>
      <c r="AM80" s="121" t="e">
        <f>LOG(4*X80+1)</f>
        <v>#VALUE!</v>
      </c>
      <c r="AN80" s="121">
        <f t="shared" si="21"/>
      </c>
      <c r="AO80" s="121">
        <f t="shared" si="21"/>
      </c>
      <c r="AP80" s="121">
        <f t="shared" si="21"/>
      </c>
      <c r="AQ80" s="121">
        <f t="shared" si="15"/>
      </c>
    </row>
    <row r="81" spans="2:43" s="26" customFormat="1" ht="13.5" customHeight="1">
      <c r="B81" s="26" t="s">
        <v>283</v>
      </c>
      <c r="E81" s="27"/>
      <c r="F81" s="28"/>
      <c r="G81" s="29">
        <f t="shared" si="16"/>
      </c>
      <c r="H81" s="29"/>
      <c r="I81" s="29"/>
      <c r="J81" s="29"/>
      <c r="K81" s="29"/>
      <c r="L81" s="29"/>
      <c r="M81" s="29"/>
      <c r="N81" s="30"/>
      <c r="O81" s="30">
        <f t="shared" si="17"/>
        <v>0</v>
      </c>
      <c r="P81" s="26">
        <f t="shared" si="18"/>
        <v>0</v>
      </c>
      <c r="S81" s="26" t="s">
        <v>58</v>
      </c>
      <c r="V81" s="27"/>
      <c r="W81" s="28"/>
      <c r="X81" s="29">
        <f t="shared" si="19"/>
      </c>
      <c r="Y81" s="29"/>
      <c r="Z81" s="29"/>
      <c r="AA81" s="29"/>
      <c r="AB81" s="29"/>
      <c r="AC81" s="29"/>
      <c r="AD81" s="29"/>
      <c r="AE81" s="45"/>
      <c r="AF81" s="45"/>
      <c r="AG81" s="45"/>
      <c r="AH81" s="120">
        <v>0</v>
      </c>
      <c r="AI81" s="120">
        <v>0</v>
      </c>
      <c r="AJ81" s="121" t="e">
        <f t="shared" si="22"/>
        <v>#VALUE!</v>
      </c>
      <c r="AK81" s="121" t="e">
        <f t="shared" si="20"/>
        <v>#VALUE!</v>
      </c>
      <c r="AL81" s="121" t="e">
        <f t="shared" si="23"/>
        <v>#VALUE!</v>
      </c>
      <c r="AM81" s="121" t="e">
        <f>LOG(4*X81+1)</f>
        <v>#VALUE!</v>
      </c>
      <c r="AN81" s="121">
        <f t="shared" si="21"/>
      </c>
      <c r="AO81" s="121">
        <f t="shared" si="21"/>
      </c>
      <c r="AP81" s="121">
        <f t="shared" si="21"/>
      </c>
      <c r="AQ81" s="121">
        <f t="shared" si="15"/>
      </c>
    </row>
    <row r="82" spans="2:43" s="26" customFormat="1" ht="13.5" customHeight="1">
      <c r="B82" s="26" t="s">
        <v>136</v>
      </c>
      <c r="E82" s="27"/>
      <c r="F82" s="28"/>
      <c r="G82" s="29">
        <f t="shared" si="16"/>
      </c>
      <c r="H82" s="29"/>
      <c r="I82" s="29"/>
      <c r="J82" s="29"/>
      <c r="K82" s="29"/>
      <c r="L82" s="29"/>
      <c r="M82" s="29"/>
      <c r="N82" s="30"/>
      <c r="O82" s="30">
        <f t="shared" si="17"/>
        <v>0</v>
      </c>
      <c r="P82" s="26">
        <f t="shared" si="18"/>
        <v>0</v>
      </c>
      <c r="S82" s="26" t="s">
        <v>59</v>
      </c>
      <c r="V82" s="27"/>
      <c r="W82" s="28"/>
      <c r="X82" s="29">
        <f t="shared" si="19"/>
      </c>
      <c r="Y82" s="29"/>
      <c r="Z82" s="29"/>
      <c r="AA82" s="29"/>
      <c r="AB82" s="29"/>
      <c r="AC82" s="29"/>
      <c r="AD82" s="29"/>
      <c r="AE82" s="103" t="e">
        <f>LARGE(AE31:AE80,1)</f>
        <v>#NUM!</v>
      </c>
      <c r="AF82" s="103" t="e">
        <f>LARGE(AF31:AF80,1)</f>
        <v>#NUM!</v>
      </c>
      <c r="AG82" s="45"/>
      <c r="AH82" s="120">
        <v>0</v>
      </c>
      <c r="AI82" s="120"/>
      <c r="AJ82" s="121" t="e">
        <f t="shared" si="22"/>
        <v>#VALUE!</v>
      </c>
      <c r="AK82" s="124"/>
      <c r="AL82" s="121" t="e">
        <f t="shared" si="23"/>
        <v>#VALUE!</v>
      </c>
      <c r="AM82" s="121"/>
      <c r="AN82" s="121">
        <f t="shared" si="21"/>
      </c>
      <c r="AO82" s="121">
        <f t="shared" si="21"/>
        <v>0</v>
      </c>
      <c r="AP82" s="121">
        <f t="shared" si="21"/>
      </c>
      <c r="AQ82" s="121">
        <f t="shared" si="15"/>
        <v>0</v>
      </c>
    </row>
    <row r="83" spans="2:43" s="26" customFormat="1" ht="13.5" customHeight="1">
      <c r="B83" s="26" t="s">
        <v>137</v>
      </c>
      <c r="E83" s="27"/>
      <c r="F83" s="28"/>
      <c r="G83" s="29">
        <f t="shared" si="16"/>
      </c>
      <c r="H83" s="29"/>
      <c r="I83" s="29"/>
      <c r="J83" s="29"/>
      <c r="K83" s="29"/>
      <c r="L83" s="29"/>
      <c r="M83" s="29"/>
      <c r="N83" s="30"/>
      <c r="O83" s="30">
        <f t="shared" si="17"/>
        <v>0</v>
      </c>
      <c r="P83" s="26">
        <f t="shared" si="18"/>
        <v>0</v>
      </c>
      <c r="S83" s="26" t="s">
        <v>298</v>
      </c>
      <c r="V83" s="27"/>
      <c r="W83" s="28"/>
      <c r="X83" s="29">
        <f t="shared" si="19"/>
      </c>
      <c r="Y83" s="29"/>
      <c r="Z83" s="29"/>
      <c r="AA83" s="29"/>
      <c r="AB83" s="29"/>
      <c r="AC83" s="29"/>
      <c r="AD83" s="29"/>
      <c r="AG83" s="45"/>
      <c r="AH83" s="120">
        <v>0</v>
      </c>
      <c r="AI83" s="120">
        <v>0</v>
      </c>
      <c r="AJ83" s="121" t="e">
        <f t="shared" si="22"/>
        <v>#VALUE!</v>
      </c>
      <c r="AK83" s="121" t="e">
        <f>LOG(4*X83+1)*AI83</f>
        <v>#VALUE!</v>
      </c>
      <c r="AL83" s="121" t="e">
        <f t="shared" si="23"/>
        <v>#VALUE!</v>
      </c>
      <c r="AM83" s="121" t="e">
        <f>LOG(4*X83+1)</f>
        <v>#VALUE!</v>
      </c>
      <c r="AN83" s="121">
        <f t="shared" si="21"/>
      </c>
      <c r="AO83" s="121">
        <f t="shared" si="21"/>
      </c>
      <c r="AP83" s="121">
        <f t="shared" si="21"/>
      </c>
      <c r="AQ83" s="121">
        <f t="shared" si="15"/>
      </c>
    </row>
    <row r="84" spans="2:43" s="26" customFormat="1" ht="13.5" customHeight="1">
      <c r="B84" s="26" t="s">
        <v>138</v>
      </c>
      <c r="E84" s="27"/>
      <c r="F84" s="28"/>
      <c r="G84" s="29">
        <f t="shared" si="16"/>
      </c>
      <c r="H84" s="29"/>
      <c r="I84" s="29"/>
      <c r="J84" s="29"/>
      <c r="K84" s="29"/>
      <c r="L84" s="29"/>
      <c r="M84" s="29"/>
      <c r="N84" s="30"/>
      <c r="O84" s="30">
        <f t="shared" si="17"/>
        <v>0</v>
      </c>
      <c r="P84" s="26">
        <f t="shared" si="18"/>
        <v>0</v>
      </c>
      <c r="S84" s="26" t="s">
        <v>61</v>
      </c>
      <c r="V84" s="27"/>
      <c r="W84" s="28"/>
      <c r="X84" s="29">
        <f t="shared" si="19"/>
      </c>
      <c r="Y84" s="29"/>
      <c r="Z84" s="29"/>
      <c r="AA84" s="29"/>
      <c r="AB84" s="29"/>
      <c r="AC84" s="29"/>
      <c r="AD84" s="29"/>
      <c r="AE84" s="100" t="e">
        <f>-0.08527134+0.08527134*AE82</f>
        <v>#NUM!</v>
      </c>
      <c r="AF84" s="100" t="e">
        <f>-0.08527134+0.08527134*AF82</f>
        <v>#NUM!</v>
      </c>
      <c r="AG84" s="101" t="s">
        <v>190</v>
      </c>
      <c r="AH84" s="120">
        <v>0</v>
      </c>
      <c r="AI84" s="120">
        <v>0</v>
      </c>
      <c r="AJ84" s="121" t="e">
        <f t="shared" si="22"/>
        <v>#VALUE!</v>
      </c>
      <c r="AK84" s="121" t="e">
        <f>LOG(4*X84+1)*AI84</f>
        <v>#VALUE!</v>
      </c>
      <c r="AL84" s="121" t="e">
        <f t="shared" si="23"/>
        <v>#VALUE!</v>
      </c>
      <c r="AM84" s="121" t="e">
        <f>LOG(4*X84+1)</f>
        <v>#VALUE!</v>
      </c>
      <c r="AN84" s="121">
        <f t="shared" si="21"/>
      </c>
      <c r="AO84" s="121">
        <f t="shared" si="21"/>
      </c>
      <c r="AP84" s="121">
        <f t="shared" si="21"/>
      </c>
      <c r="AQ84" s="121">
        <f t="shared" si="15"/>
      </c>
    </row>
    <row r="85" spans="2:43" s="26" customFormat="1" ht="13.5" customHeight="1">
      <c r="B85" s="26" t="s">
        <v>139</v>
      </c>
      <c r="E85" s="27"/>
      <c r="F85" s="28"/>
      <c r="G85" s="29">
        <f t="shared" si="16"/>
      </c>
      <c r="H85" s="29"/>
      <c r="I85" s="29"/>
      <c r="J85" s="29"/>
      <c r="K85" s="29"/>
      <c r="L85" s="29"/>
      <c r="M85" s="29"/>
      <c r="N85" s="30"/>
      <c r="O85" s="30">
        <f t="shared" si="17"/>
        <v>0</v>
      </c>
      <c r="P85" s="26">
        <f t="shared" si="18"/>
        <v>0</v>
      </c>
      <c r="S85" s="26" t="s">
        <v>62</v>
      </c>
      <c r="V85" s="27"/>
      <c r="W85" s="28"/>
      <c r="X85" s="29">
        <f t="shared" si="19"/>
      </c>
      <c r="Y85" s="29"/>
      <c r="Z85" s="29"/>
      <c r="AA85" s="29"/>
      <c r="AB85" s="29"/>
      <c r="AC85" s="29"/>
      <c r="AD85" s="29"/>
      <c r="AE85" s="99" t="e">
        <f>IF(AE84&gt;1,"1",AE84)</f>
        <v>#NUM!</v>
      </c>
      <c r="AF85" s="99" t="e">
        <f>IF(AF84&gt;1,"1",AF84)</f>
        <v>#NUM!</v>
      </c>
      <c r="AH85" s="120">
        <v>0</v>
      </c>
      <c r="AI85" s="120">
        <v>0</v>
      </c>
      <c r="AJ85" s="121" t="e">
        <f t="shared" si="22"/>
        <v>#VALUE!</v>
      </c>
      <c r="AK85" s="121" t="e">
        <f>LOG(4*X85+1)*AI85</f>
        <v>#VALUE!</v>
      </c>
      <c r="AL85" s="121" t="e">
        <f t="shared" si="23"/>
        <v>#VALUE!</v>
      </c>
      <c r="AM85" s="121" t="e">
        <f>LOG(4*X85+1)</f>
        <v>#VALUE!</v>
      </c>
      <c r="AN85" s="121">
        <f t="shared" si="21"/>
      </c>
      <c r="AO85" s="121">
        <f t="shared" si="21"/>
      </c>
      <c r="AP85" s="121">
        <f t="shared" si="21"/>
      </c>
      <c r="AQ85" s="121">
        <f t="shared" si="15"/>
      </c>
    </row>
    <row r="86" spans="1:43" s="26" customFormat="1" ht="13.5" customHeight="1">
      <c r="A86" s="34"/>
      <c r="B86" s="34" t="s">
        <v>140</v>
      </c>
      <c r="C86" s="34"/>
      <c r="D86" s="34"/>
      <c r="E86" s="42"/>
      <c r="F86" s="41"/>
      <c r="G86" s="41">
        <f t="shared" si="16"/>
      </c>
      <c r="H86" s="41"/>
      <c r="I86" s="41"/>
      <c r="J86" s="41"/>
      <c r="K86" s="41"/>
      <c r="L86" s="41"/>
      <c r="M86" s="41"/>
      <c r="N86" s="30"/>
      <c r="O86" s="30">
        <f t="shared" si="17"/>
        <v>0</v>
      </c>
      <c r="P86" s="26">
        <f t="shared" si="18"/>
        <v>0</v>
      </c>
      <c r="S86" s="26" t="s">
        <v>64</v>
      </c>
      <c r="V86" s="27"/>
      <c r="W86" s="28"/>
      <c r="X86" s="29">
        <f t="shared" si="19"/>
      </c>
      <c r="Y86" s="29"/>
      <c r="Z86" s="29"/>
      <c r="AA86" s="29"/>
      <c r="AB86" s="29"/>
      <c r="AC86" s="29"/>
      <c r="AD86" s="29"/>
      <c r="AE86" s="99" t="e">
        <f>IF(AE84&lt;0,"0",AE84)</f>
        <v>#NUM!</v>
      </c>
      <c r="AF86" s="99" t="e">
        <f>IF(AF84&lt;0,"0",AF84)</f>
        <v>#NUM!</v>
      </c>
      <c r="AH86" s="120">
        <v>0</v>
      </c>
      <c r="AI86" s="120">
        <v>0</v>
      </c>
      <c r="AJ86" s="121" t="e">
        <f t="shared" si="22"/>
        <v>#VALUE!</v>
      </c>
      <c r="AK86" s="121" t="e">
        <f>LOG(4*X86+1)*AI86</f>
        <v>#VALUE!</v>
      </c>
      <c r="AL86" s="121" t="e">
        <f t="shared" si="23"/>
        <v>#VALUE!</v>
      </c>
      <c r="AM86" s="121" t="e">
        <f>LOG(4*X86+1)</f>
        <v>#VALUE!</v>
      </c>
      <c r="AN86" s="121">
        <f t="shared" si="21"/>
      </c>
      <c r="AO86" s="121">
        <f t="shared" si="21"/>
      </c>
      <c r="AP86" s="121">
        <f t="shared" si="21"/>
      </c>
      <c r="AQ86" s="121">
        <f t="shared" si="15"/>
      </c>
    </row>
    <row r="87" spans="1:43" s="26" customFormat="1" ht="13.5" customHeight="1">
      <c r="A87" s="24" t="s">
        <v>141</v>
      </c>
      <c r="F87" s="109"/>
      <c r="G87" s="109">
        <f t="shared" si="16"/>
      </c>
      <c r="H87" s="109"/>
      <c r="I87" s="109"/>
      <c r="J87" s="109"/>
      <c r="K87" s="109"/>
      <c r="L87" s="109"/>
      <c r="M87" s="109"/>
      <c r="N87" s="30"/>
      <c r="O87" s="30">
        <f t="shared" si="17"/>
        <v>0</v>
      </c>
      <c r="P87" s="26">
        <f t="shared" si="18"/>
        <v>0</v>
      </c>
      <c r="S87" s="26" t="s">
        <v>299</v>
      </c>
      <c r="V87" s="27"/>
      <c r="W87" s="28"/>
      <c r="X87" s="29">
        <f t="shared" si="19"/>
      </c>
      <c r="Y87" s="29"/>
      <c r="Z87" s="29"/>
      <c r="AA87" s="29"/>
      <c r="AB87" s="29"/>
      <c r="AC87" s="29"/>
      <c r="AD87" s="29"/>
      <c r="AE87" s="97" t="e">
        <f>IF(AE85&gt;0,AE85,AE86)/1</f>
        <v>#NUM!</v>
      </c>
      <c r="AF87" s="97" t="e">
        <f>IF(AF85&gt;0,AF85,AF86)/1</f>
        <v>#NUM!</v>
      </c>
      <c r="AH87" s="120"/>
      <c r="AI87" s="120"/>
      <c r="AJ87" s="121"/>
      <c r="AK87" s="124"/>
      <c r="AL87" s="124"/>
      <c r="AM87" s="121"/>
      <c r="AN87" s="121">
        <f t="shared" si="21"/>
        <v>0</v>
      </c>
      <c r="AO87" s="121">
        <f t="shared" si="21"/>
        <v>0</v>
      </c>
      <c r="AP87" s="121">
        <f t="shared" si="21"/>
        <v>0</v>
      </c>
      <c r="AQ87" s="121">
        <f t="shared" si="15"/>
        <v>0</v>
      </c>
    </row>
    <row r="88" spans="1:43" s="26" customFormat="1" ht="13.5" customHeight="1">
      <c r="A88" s="24"/>
      <c r="B88" s="26" t="s">
        <v>142</v>
      </c>
      <c r="D88" s="26">
        <f>IF(E88&gt;2,8,"")</f>
      </c>
      <c r="E88" s="27"/>
      <c r="F88" s="28"/>
      <c r="G88" s="29">
        <f t="shared" si="16"/>
      </c>
      <c r="H88" s="29"/>
      <c r="I88" s="29"/>
      <c r="J88" s="29"/>
      <c r="K88" s="29"/>
      <c r="L88" s="29"/>
      <c r="M88" s="29"/>
      <c r="N88" s="30"/>
      <c r="O88" s="30">
        <f t="shared" si="17"/>
      </c>
      <c r="P88" s="26">
        <f t="shared" si="18"/>
        <v>0</v>
      </c>
      <c r="S88" s="26" t="s">
        <v>65</v>
      </c>
      <c r="V88" s="27"/>
      <c r="W88" s="28"/>
      <c r="X88" s="29">
        <f t="shared" si="19"/>
      </c>
      <c r="Y88" s="29"/>
      <c r="Z88" s="29"/>
      <c r="AA88" s="29"/>
      <c r="AB88" s="29"/>
      <c r="AC88" s="29"/>
      <c r="AD88" s="29"/>
      <c r="AH88" s="120">
        <v>1</v>
      </c>
      <c r="AI88" s="120"/>
      <c r="AJ88" s="121" t="e">
        <f aca="true" t="shared" si="24" ref="AJ88:AJ94">LOG(4*G88+1)*AH88</f>
        <v>#VALUE!</v>
      </c>
      <c r="AK88" s="124"/>
      <c r="AL88" s="121" t="e">
        <f aca="true" t="shared" si="25" ref="AL88:AL94">LOG(4*G88+1)</f>
        <v>#VALUE!</v>
      </c>
      <c r="AM88" s="121"/>
      <c r="AN88" s="121">
        <f t="shared" si="21"/>
      </c>
      <c r="AO88" s="121">
        <f t="shared" si="21"/>
        <v>0</v>
      </c>
      <c r="AP88" s="121">
        <f t="shared" si="21"/>
      </c>
      <c r="AQ88" s="121">
        <f t="shared" si="15"/>
        <v>0</v>
      </c>
    </row>
    <row r="89" spans="2:43" s="26" customFormat="1" ht="13.5" customHeight="1">
      <c r="B89" s="26" t="s">
        <v>143</v>
      </c>
      <c r="D89" s="26">
        <f>IF(E89&gt;2,9,"")</f>
      </c>
      <c r="E89" s="27"/>
      <c r="F89" s="28"/>
      <c r="G89" s="29">
        <f t="shared" si="16"/>
      </c>
      <c r="H89" s="29"/>
      <c r="I89" s="29"/>
      <c r="J89" s="29"/>
      <c r="K89" s="29"/>
      <c r="L89" s="29"/>
      <c r="M89" s="29"/>
      <c r="N89" s="30"/>
      <c r="O89" s="30">
        <f t="shared" si="17"/>
      </c>
      <c r="P89" s="26">
        <f t="shared" si="18"/>
        <v>0</v>
      </c>
      <c r="S89" s="26" t="s">
        <v>66</v>
      </c>
      <c r="V89" s="27"/>
      <c r="W89" s="28"/>
      <c r="X89" s="29">
        <f t="shared" si="19"/>
      </c>
      <c r="Y89" s="29"/>
      <c r="Z89" s="29"/>
      <c r="AA89" s="29"/>
      <c r="AB89" s="29"/>
      <c r="AC89" s="29"/>
      <c r="AD89" s="29"/>
      <c r="AH89" s="120">
        <v>1</v>
      </c>
      <c r="AI89" s="120">
        <v>0</v>
      </c>
      <c r="AJ89" s="121" t="e">
        <f t="shared" si="24"/>
        <v>#VALUE!</v>
      </c>
      <c r="AK89" s="121" t="e">
        <f>LOG(4*X89+1)*AI89</f>
        <v>#VALUE!</v>
      </c>
      <c r="AL89" s="121" t="e">
        <f t="shared" si="25"/>
        <v>#VALUE!</v>
      </c>
      <c r="AM89" s="121" t="e">
        <f>LOG(4*X89+1)</f>
        <v>#VALUE!</v>
      </c>
      <c r="AN89" s="121">
        <f t="shared" si="21"/>
      </c>
      <c r="AO89" s="121">
        <f t="shared" si="21"/>
      </c>
      <c r="AP89" s="121">
        <f t="shared" si="21"/>
      </c>
      <c r="AQ89" s="121">
        <f t="shared" si="15"/>
      </c>
    </row>
    <row r="90" spans="2:43" s="26" customFormat="1" ht="13.5" customHeight="1">
      <c r="B90" s="26" t="s">
        <v>144</v>
      </c>
      <c r="D90" s="26">
        <f>IF(E90&gt;2,6,"")</f>
      </c>
      <c r="E90" s="27"/>
      <c r="F90" s="28"/>
      <c r="G90" s="29">
        <f t="shared" si="16"/>
      </c>
      <c r="H90" s="29"/>
      <c r="I90" s="29"/>
      <c r="J90" s="29"/>
      <c r="K90" s="29"/>
      <c r="L90" s="29"/>
      <c r="M90" s="29"/>
      <c r="N90" s="30"/>
      <c r="O90" s="30">
        <f t="shared" si="17"/>
      </c>
      <c r="P90" s="26">
        <f t="shared" si="18"/>
        <v>0</v>
      </c>
      <c r="S90" s="26" t="s">
        <v>280</v>
      </c>
      <c r="V90" s="27"/>
      <c r="W90" s="28"/>
      <c r="X90" s="29">
        <f t="shared" si="19"/>
      </c>
      <c r="Y90" s="29"/>
      <c r="Z90" s="29"/>
      <c r="AA90" s="29"/>
      <c r="AB90" s="29"/>
      <c r="AC90" s="29"/>
      <c r="AD90" s="29"/>
      <c r="AE90" s="100">
        <f>-0.1392405+0.1392405*X99</f>
        <v>-0.1392405</v>
      </c>
      <c r="AF90" s="100">
        <f>-0.1392405+0.1392405*X100</f>
        <v>-0.1392405</v>
      </c>
      <c r="AG90" s="101" t="s">
        <v>191</v>
      </c>
      <c r="AH90" s="120">
        <v>1</v>
      </c>
      <c r="AI90" s="120">
        <v>0</v>
      </c>
      <c r="AJ90" s="121" t="e">
        <f t="shared" si="24"/>
        <v>#VALUE!</v>
      </c>
      <c r="AK90" s="121" t="e">
        <f>LOG(4*X90+1)*AI90</f>
        <v>#VALUE!</v>
      </c>
      <c r="AL90" s="121" t="e">
        <f t="shared" si="25"/>
        <v>#VALUE!</v>
      </c>
      <c r="AM90" s="121" t="e">
        <f>LOG(4*X90+1)</f>
        <v>#VALUE!</v>
      </c>
      <c r="AN90" s="121">
        <f t="shared" si="21"/>
      </c>
      <c r="AO90" s="121">
        <f t="shared" si="21"/>
      </c>
      <c r="AP90" s="121">
        <f t="shared" si="21"/>
      </c>
      <c r="AQ90" s="121">
        <f t="shared" si="15"/>
      </c>
    </row>
    <row r="91" spans="2:43" s="26" customFormat="1" ht="13.5" customHeight="1">
      <c r="B91" s="26" t="s">
        <v>145</v>
      </c>
      <c r="D91" s="26">
        <f>IF(E91&gt;2,5,"")</f>
      </c>
      <c r="E91" s="27"/>
      <c r="F91" s="28"/>
      <c r="G91" s="29">
        <f t="shared" si="16"/>
      </c>
      <c r="H91" s="29"/>
      <c r="I91" s="29"/>
      <c r="J91" s="29"/>
      <c r="K91" s="29"/>
      <c r="L91" s="29"/>
      <c r="M91" s="29"/>
      <c r="N91" s="30"/>
      <c r="O91" s="30">
        <f t="shared" si="17"/>
      </c>
      <c r="P91" s="26">
        <f t="shared" si="18"/>
        <v>0</v>
      </c>
      <c r="S91" s="26" t="s">
        <v>67</v>
      </c>
      <c r="V91" s="27"/>
      <c r="W91" s="28"/>
      <c r="X91" s="29">
        <f t="shared" si="19"/>
      </c>
      <c r="Y91" s="29"/>
      <c r="Z91" s="29"/>
      <c r="AA91" s="29"/>
      <c r="AB91" s="29"/>
      <c r="AC91" s="29"/>
      <c r="AD91" s="29"/>
      <c r="AE91" s="97">
        <f>IF(AE90&gt;1,"1",AE90)</f>
        <v>-0.1392405</v>
      </c>
      <c r="AF91" s="97">
        <f>IF(AF90&gt;1,"1",AF90)</f>
        <v>-0.1392405</v>
      </c>
      <c r="AH91" s="120">
        <v>0</v>
      </c>
      <c r="AI91" s="120">
        <v>0</v>
      </c>
      <c r="AJ91" s="121" t="e">
        <f t="shared" si="24"/>
        <v>#VALUE!</v>
      </c>
      <c r="AK91" s="121" t="e">
        <f>LOG(4*X91+1)*AI91</f>
        <v>#VALUE!</v>
      </c>
      <c r="AL91" s="121" t="e">
        <f t="shared" si="25"/>
        <v>#VALUE!</v>
      </c>
      <c r="AM91" s="121" t="e">
        <f>LOG(4*X91+1)</f>
        <v>#VALUE!</v>
      </c>
      <c r="AN91" s="121">
        <f t="shared" si="21"/>
      </c>
      <c r="AO91" s="121">
        <f t="shared" si="21"/>
      </c>
      <c r="AP91" s="121">
        <f t="shared" si="21"/>
      </c>
      <c r="AQ91" s="121">
        <f t="shared" si="15"/>
      </c>
    </row>
    <row r="92" spans="2:43" s="26" customFormat="1" ht="13.5" customHeight="1">
      <c r="B92" s="26" t="s">
        <v>146</v>
      </c>
      <c r="D92" s="26">
        <f>IF(E92&gt;2,9,"")</f>
      </c>
      <c r="E92" s="27"/>
      <c r="F92" s="28"/>
      <c r="G92" s="29">
        <f t="shared" si="16"/>
      </c>
      <c r="H92" s="29"/>
      <c r="I92" s="29"/>
      <c r="J92" s="29"/>
      <c r="K92" s="29"/>
      <c r="L92" s="29"/>
      <c r="M92" s="29"/>
      <c r="N92" s="30"/>
      <c r="O92" s="30">
        <f t="shared" si="17"/>
      </c>
      <c r="P92" s="26">
        <f t="shared" si="18"/>
        <v>0</v>
      </c>
      <c r="S92" s="26" t="s">
        <v>68</v>
      </c>
      <c r="V92" s="27"/>
      <c r="W92" s="28"/>
      <c r="X92" s="29">
        <f t="shared" si="19"/>
      </c>
      <c r="Y92" s="29"/>
      <c r="Z92" s="29"/>
      <c r="AA92" s="29"/>
      <c r="AB92" s="29"/>
      <c r="AC92" s="29"/>
      <c r="AD92" s="29"/>
      <c r="AE92" s="97" t="str">
        <f>IF(AE90&lt;0,"0",AE90)</f>
        <v>0</v>
      </c>
      <c r="AF92" s="97" t="str">
        <f>IF(AF90&lt;0,"0",AF90)</f>
        <v>0</v>
      </c>
      <c r="AG92" s="45"/>
      <c r="AH92" s="120">
        <v>1</v>
      </c>
      <c r="AI92" s="120">
        <v>0</v>
      </c>
      <c r="AJ92" s="121" t="e">
        <f t="shared" si="24"/>
        <v>#VALUE!</v>
      </c>
      <c r="AK92" s="121" t="e">
        <f>LOG(4*X92+1)*AI92</f>
        <v>#VALUE!</v>
      </c>
      <c r="AL92" s="121" t="e">
        <f t="shared" si="25"/>
        <v>#VALUE!</v>
      </c>
      <c r="AM92" s="121" t="e">
        <f>LOG(4*X92+1)</f>
        <v>#VALUE!</v>
      </c>
      <c r="AN92" s="121">
        <f t="shared" si="21"/>
      </c>
      <c r="AO92" s="121">
        <f t="shared" si="21"/>
      </c>
      <c r="AP92" s="121">
        <f t="shared" si="21"/>
      </c>
      <c r="AQ92" s="121">
        <f t="shared" si="15"/>
      </c>
    </row>
    <row r="93" spans="1:43" s="26" customFormat="1" ht="13.5" customHeight="1">
      <c r="A93" s="24"/>
      <c r="B93" s="26" t="s">
        <v>147</v>
      </c>
      <c r="D93" s="26">
        <f>IF(E93&gt;2,9,"")</f>
      </c>
      <c r="E93" s="27"/>
      <c r="F93" s="28"/>
      <c r="G93" s="29">
        <f t="shared" si="16"/>
      </c>
      <c r="H93" s="29"/>
      <c r="I93" s="29"/>
      <c r="J93" s="29"/>
      <c r="K93" s="29"/>
      <c r="L93" s="29"/>
      <c r="M93" s="29"/>
      <c r="N93" s="30"/>
      <c r="O93" s="30">
        <f t="shared" si="17"/>
      </c>
      <c r="P93" s="26">
        <f t="shared" si="18"/>
        <v>0</v>
      </c>
      <c r="S93" s="26" t="s">
        <v>69</v>
      </c>
      <c r="V93" s="27"/>
      <c r="W93" s="28"/>
      <c r="X93" s="29">
        <f t="shared" si="19"/>
      </c>
      <c r="Y93" s="29"/>
      <c r="Z93" s="29"/>
      <c r="AA93" s="29"/>
      <c r="AB93" s="29"/>
      <c r="AC93" s="29"/>
      <c r="AD93" s="29"/>
      <c r="AE93" s="97">
        <f>IF(AE91&gt;0,AE91,AE92)/1</f>
        <v>0</v>
      </c>
      <c r="AF93" s="97">
        <f>IF(AF91&gt;0,AF91,AF92)/1</f>
        <v>0</v>
      </c>
      <c r="AG93" s="45"/>
      <c r="AH93" s="120">
        <v>1</v>
      </c>
      <c r="AI93" s="120"/>
      <c r="AJ93" s="121" t="e">
        <f t="shared" si="24"/>
        <v>#VALUE!</v>
      </c>
      <c r="AK93" s="124"/>
      <c r="AL93" s="121" t="e">
        <f t="shared" si="25"/>
        <v>#VALUE!</v>
      </c>
      <c r="AM93" s="121"/>
      <c r="AN93" s="121">
        <f t="shared" si="21"/>
      </c>
      <c r="AO93" s="121">
        <f t="shared" si="21"/>
        <v>0</v>
      </c>
      <c r="AP93" s="121">
        <f t="shared" si="21"/>
      </c>
      <c r="AQ93" s="121">
        <f t="shared" si="15"/>
        <v>0</v>
      </c>
    </row>
    <row r="94" spans="1:43" ht="13.5" customHeight="1">
      <c r="A94" s="33"/>
      <c r="B94" s="34" t="s">
        <v>148</v>
      </c>
      <c r="C94" s="33"/>
      <c r="D94" s="44">
        <f>IF(E94&gt;2,7,"")</f>
      </c>
      <c r="E94" s="42"/>
      <c r="F94" s="41"/>
      <c r="G94" s="41">
        <f t="shared" si="16"/>
      </c>
      <c r="H94" s="41"/>
      <c r="I94" s="41"/>
      <c r="J94" s="41"/>
      <c r="K94" s="41"/>
      <c r="L94" s="41"/>
      <c r="M94" s="41"/>
      <c r="N94" s="30"/>
      <c r="O94" s="30">
        <f t="shared" si="17"/>
      </c>
      <c r="P94" s="26">
        <f t="shared" si="18"/>
        <v>0</v>
      </c>
      <c r="Q94" s="26"/>
      <c r="R94" s="34"/>
      <c r="S94" s="34" t="s">
        <v>70</v>
      </c>
      <c r="T94" s="34"/>
      <c r="U94" s="34"/>
      <c r="V94" s="27"/>
      <c r="W94" s="40"/>
      <c r="X94" s="41">
        <f t="shared" si="19"/>
      </c>
      <c r="Y94" s="41"/>
      <c r="Z94" s="41"/>
      <c r="AA94" s="41"/>
      <c r="AB94" s="41"/>
      <c r="AC94" s="41"/>
      <c r="AD94" s="41"/>
      <c r="AG94" s="71"/>
      <c r="AH94" s="120">
        <v>1</v>
      </c>
      <c r="AI94" s="120">
        <v>0</v>
      </c>
      <c r="AJ94" s="121" t="e">
        <f t="shared" si="24"/>
        <v>#VALUE!</v>
      </c>
      <c r="AK94" s="121" t="e">
        <f>LOG(4*X94+1)*AI94</f>
        <v>#VALUE!</v>
      </c>
      <c r="AL94" s="121" t="e">
        <f t="shared" si="25"/>
        <v>#VALUE!</v>
      </c>
      <c r="AM94" s="121" t="e">
        <f>LOG(4*X94+1)</f>
        <v>#VALUE!</v>
      </c>
      <c r="AN94" s="121">
        <f t="shared" si="21"/>
      </c>
      <c r="AO94" s="121">
        <f t="shared" si="21"/>
      </c>
      <c r="AP94" s="121">
        <f t="shared" si="21"/>
      </c>
      <c r="AQ94" s="121">
        <f t="shared" si="15"/>
      </c>
    </row>
    <row r="95" spans="1:21" ht="4.5" customHeight="1">
      <c r="A95" s="23"/>
      <c r="B95" s="46"/>
      <c r="E95" s="46"/>
      <c r="L95" s="47"/>
      <c r="N95" s="24"/>
      <c r="O95" s="24"/>
      <c r="P95" s="24"/>
      <c r="Q95" s="23"/>
      <c r="R95" s="46"/>
      <c r="S95" s="46"/>
      <c r="U95" s="46"/>
    </row>
    <row r="96" spans="1:43" s="71" customFormat="1" ht="15" customHeight="1" thickBot="1">
      <c r="A96" s="70"/>
      <c r="B96" s="112" t="s">
        <v>262</v>
      </c>
      <c r="C96" s="70"/>
      <c r="D96" s="70"/>
      <c r="E96" s="128"/>
      <c r="F96" s="129"/>
      <c r="G96" s="129"/>
      <c r="H96" s="129"/>
      <c r="I96" s="129"/>
      <c r="J96" s="129"/>
      <c r="K96" s="129"/>
      <c r="L96" s="130"/>
      <c r="M96" s="75"/>
      <c r="N96" s="70"/>
      <c r="O96" s="70"/>
      <c r="P96" s="70"/>
      <c r="Q96" s="70"/>
      <c r="R96" s="70"/>
      <c r="S96" s="87" t="s">
        <v>262</v>
      </c>
      <c r="T96" s="70"/>
      <c r="U96" s="70"/>
      <c r="V96" s="128"/>
      <c r="W96" s="129"/>
      <c r="X96" s="129"/>
      <c r="Y96" s="129"/>
      <c r="Z96" s="129"/>
      <c r="AA96" s="129"/>
      <c r="AB96" s="129"/>
      <c r="AC96" s="130"/>
      <c r="AD96" s="75"/>
      <c r="AH96" s="125"/>
      <c r="AI96" s="125"/>
      <c r="AJ96" s="125"/>
      <c r="AK96" s="125"/>
      <c r="AL96" s="125"/>
      <c r="AM96" s="103" t="s">
        <v>278</v>
      </c>
      <c r="AN96" s="125">
        <f>SUM(AN10:AO94)</f>
        <v>0</v>
      </c>
      <c r="AO96" s="103" t="s">
        <v>278</v>
      </c>
      <c r="AP96" s="125">
        <f>SUM(AP10:AQ94)</f>
        <v>0</v>
      </c>
      <c r="AQ96" s="125"/>
    </row>
    <row r="97" spans="1:43" s="26" customFormat="1" ht="17.25" customHeight="1" thickBot="1">
      <c r="A97" s="48"/>
      <c r="B97" s="114" t="s">
        <v>264</v>
      </c>
      <c r="C97" s="48"/>
      <c r="D97" s="48"/>
      <c r="E97" s="48"/>
      <c r="F97" s="48"/>
      <c r="G97" s="48"/>
      <c r="H97" s="48"/>
      <c r="I97" s="48"/>
      <c r="J97" s="48"/>
      <c r="K97" s="48"/>
      <c r="L97" s="85" t="s">
        <v>185</v>
      </c>
      <c r="M97" s="51" t="str">
        <f>IF(O97&gt;0,O97,"0")</f>
        <v>0</v>
      </c>
      <c r="N97" s="48"/>
      <c r="O97" s="48">
        <f>COUNT(G66:G76,G88:G94,X47:X67)</f>
        <v>0</v>
      </c>
      <c r="P97" s="48"/>
      <c r="Q97" s="48"/>
      <c r="R97" s="48"/>
      <c r="S97" s="49"/>
      <c r="T97" s="49" t="s">
        <v>291</v>
      </c>
      <c r="U97" s="50" t="s">
        <v>155</v>
      </c>
      <c r="V97" s="51" t="str">
        <f>IF(X97&gt;0,X97,"0")</f>
        <v>0</v>
      </c>
      <c r="W97" s="52"/>
      <c r="X97" s="48">
        <f>COUNT(X10:X94,G9:G94)</f>
        <v>0</v>
      </c>
      <c r="Y97" s="53" t="s">
        <v>182</v>
      </c>
      <c r="Z97" s="53"/>
      <c r="AA97" s="53"/>
      <c r="AB97" s="48"/>
      <c r="AC97" s="82" t="s">
        <v>304</v>
      </c>
      <c r="AD97" s="139">
        <f>IF(TYPE(AE87)=1,IF(AE87&gt;=0,AE87,""),"")</f>
      </c>
      <c r="AE97" s="96"/>
      <c r="AF97" s="96"/>
      <c r="AH97" s="45"/>
      <c r="AI97" s="45"/>
      <c r="AJ97" s="45"/>
      <c r="AM97" s="45"/>
      <c r="AN97" s="45"/>
      <c r="AO97" s="45"/>
      <c r="AP97" s="45"/>
      <c r="AQ97" s="45"/>
    </row>
    <row r="98" spans="1:43" s="26" customFormat="1" ht="17.25" customHeight="1" thickBot="1">
      <c r="A98" s="72"/>
      <c r="B98" s="113" t="s">
        <v>266</v>
      </c>
      <c r="C98" s="72"/>
      <c r="D98" s="72"/>
      <c r="E98" s="72"/>
      <c r="F98" s="72"/>
      <c r="G98" s="72"/>
      <c r="H98" s="72"/>
      <c r="I98" s="72"/>
      <c r="J98" s="72"/>
      <c r="K98" s="72"/>
      <c r="L98" s="86" t="s">
        <v>261</v>
      </c>
      <c r="M98" s="51" t="str">
        <f>IF(O98&gt;0,O98,"0")</f>
        <v>0</v>
      </c>
      <c r="N98" s="72"/>
      <c r="O98" s="72">
        <f>COUNTIF(N102:N115,"&gt;0")</f>
        <v>0</v>
      </c>
      <c r="P98" s="72"/>
      <c r="Q98" s="72"/>
      <c r="R98" s="72"/>
      <c r="S98" s="49"/>
      <c r="T98" s="49" t="s">
        <v>285</v>
      </c>
      <c r="U98" s="50" t="s">
        <v>155</v>
      </c>
      <c r="V98" s="51">
        <f>IF(TYPE(X98)=1,IF(X98&gt;0,X98,""),"")</f>
      </c>
      <c r="W98" s="78"/>
      <c r="X98" s="91" t="e">
        <f>ROUND(EXP(LN(V97)+AD7),0)</f>
        <v>#NUM!</v>
      </c>
      <c r="Y98" s="72" t="s">
        <v>183</v>
      </c>
      <c r="Z98" s="72"/>
      <c r="AA98" s="79"/>
      <c r="AB98" s="72"/>
      <c r="AC98" s="83" t="s">
        <v>305</v>
      </c>
      <c r="AD98" s="139">
        <f>IF(AE93&gt;0,AE93,"")</f>
      </c>
      <c r="AE98" s="96"/>
      <c r="AF98" s="97"/>
      <c r="AG98" s="90"/>
      <c r="AH98" s="45"/>
      <c r="AI98" s="45"/>
      <c r="AJ98" s="45"/>
      <c r="AM98" s="45"/>
      <c r="AN98" s="45"/>
      <c r="AO98" s="45"/>
      <c r="AP98" s="45"/>
      <c r="AQ98" s="45"/>
    </row>
    <row r="99" spans="1:33" ht="17.25" customHeight="1" thickBot="1">
      <c r="A99" s="54"/>
      <c r="B99" s="132">
        <f>Z5</f>
        <v>0</v>
      </c>
      <c r="C99" s="133"/>
      <c r="D99" s="133"/>
      <c r="E99" s="134"/>
      <c r="F99" s="56"/>
      <c r="G99" s="56"/>
      <c r="H99" s="56"/>
      <c r="I99" s="56"/>
      <c r="J99" s="56"/>
      <c r="K99" s="56"/>
      <c r="L99" s="115" t="s">
        <v>268</v>
      </c>
      <c r="M99" s="117" t="str">
        <f>IF(O99&gt;0,O99,"0")</f>
        <v>0</v>
      </c>
      <c r="N99" s="57"/>
      <c r="O99" s="56">
        <f>T104</f>
        <v>0</v>
      </c>
      <c r="P99" s="57"/>
      <c r="Q99" s="57"/>
      <c r="R99" s="57"/>
      <c r="S99" s="56"/>
      <c r="T99" s="58" t="s">
        <v>306</v>
      </c>
      <c r="U99" s="59" t="s">
        <v>155</v>
      </c>
      <c r="V99" s="51" t="str">
        <f>IF(X99&gt;0,X99,"0")</f>
        <v>0</v>
      </c>
      <c r="W99" s="60"/>
      <c r="X99" s="56">
        <f>LARGE(O9:P94,1)</f>
        <v>0</v>
      </c>
      <c r="Y99" s="55"/>
      <c r="Z99" s="56"/>
      <c r="AA99" s="55"/>
      <c r="AB99" s="56"/>
      <c r="AC99" s="80" t="s">
        <v>296</v>
      </c>
      <c r="AD99" s="139">
        <f>IF(TYPE(AE99)=1,IF(AE99&gt;=0,AE99,""),"")</f>
      </c>
      <c r="AE99" s="104" t="e">
        <f>(0.62*AD97)+(0.38*AE93)</f>
        <v>#VALUE!</v>
      </c>
      <c r="AF99" s="105" t="e">
        <f>(0.62*AF87)+(0.38*AF93)</f>
        <v>#NUM!</v>
      </c>
      <c r="AG99" s="106" t="s">
        <v>193</v>
      </c>
    </row>
    <row r="100" spans="2:43" s="26" customFormat="1" ht="17.25" customHeight="1">
      <c r="B100" s="84" t="s">
        <v>307</v>
      </c>
      <c r="O100" s="26">
        <f>V97-1</f>
        <v>-1</v>
      </c>
      <c r="P100" s="26" t="e">
        <f>ROUND(EXP(LN(O100)+AD7),0)</f>
        <v>#NUM!</v>
      </c>
      <c r="T100" s="77" t="s">
        <v>300</v>
      </c>
      <c r="U100" s="111" t="s">
        <v>155</v>
      </c>
      <c r="V100" s="124">
        <f>IF(TYPE(AF100)=1,IF(AF100&gt;=0,AF100,""),"")</f>
      </c>
      <c r="X100" s="26">
        <f>LARGE(O9:P94,2)</f>
        <v>0</v>
      </c>
      <c r="AC100" s="81" t="s">
        <v>263</v>
      </c>
      <c r="AD100" s="140">
        <f>IF(TYPE(AF99)=1,IF(AF99&gt;0,AF99,""),"")</f>
      </c>
      <c r="AE100" s="98"/>
      <c r="AF100" s="126" t="e">
        <f>AN96/AP96*100</f>
        <v>#DIV/0!</v>
      </c>
      <c r="AG100" s="127" t="s">
        <v>279</v>
      </c>
      <c r="AH100" s="45"/>
      <c r="AI100" s="45"/>
      <c r="AJ100" s="45"/>
      <c r="AM100" s="45"/>
      <c r="AN100" s="45"/>
      <c r="AO100" s="45"/>
      <c r="AP100" s="45"/>
      <c r="AQ100" s="45"/>
    </row>
    <row r="101" spans="2:43" s="26" customFormat="1" ht="17.25" customHeight="1" hidden="1">
      <c r="B101" s="84"/>
      <c r="E101" s="24" t="s">
        <v>303</v>
      </c>
      <c r="M101" s="108" t="s">
        <v>194</v>
      </c>
      <c r="S101" s="24" t="s">
        <v>270</v>
      </c>
      <c r="Z101" s="24" t="s">
        <v>187</v>
      </c>
      <c r="AC101" s="81"/>
      <c r="AH101" s="45"/>
      <c r="AI101" s="45"/>
      <c r="AJ101" s="45"/>
      <c r="AM101" s="45"/>
      <c r="AN101" s="45"/>
      <c r="AO101" s="45"/>
      <c r="AP101" s="45"/>
      <c r="AQ101" s="45"/>
    </row>
    <row r="102" spans="1:30" ht="12.75" hidden="1">
      <c r="A102" s="46"/>
      <c r="E102" s="107" t="s">
        <v>195</v>
      </c>
      <c r="M102" s="94"/>
      <c r="N102" s="94">
        <f>M10</f>
        <v>0</v>
      </c>
      <c r="S102" s="45" t="s">
        <v>271</v>
      </c>
      <c r="T102" s="94">
        <f>SUM(E9:E94)</f>
        <v>0</v>
      </c>
      <c r="V102"/>
      <c r="Z102" s="116">
        <v>1</v>
      </c>
      <c r="AD102" s="116">
        <v>0.98</v>
      </c>
    </row>
    <row r="103" spans="1:30" ht="12.75" hidden="1">
      <c r="A103" s="46"/>
      <c r="E103" s="107" t="s">
        <v>196</v>
      </c>
      <c r="M103" s="94"/>
      <c r="N103" s="94">
        <f>M15</f>
        <v>0</v>
      </c>
      <c r="S103" s="45" t="s">
        <v>272</v>
      </c>
      <c r="T103" s="94">
        <f>SUM(V10:V94)</f>
        <v>0</v>
      </c>
      <c r="V103"/>
      <c r="Z103" s="116">
        <v>2</v>
      </c>
      <c r="AD103" s="116">
        <v>0.98</v>
      </c>
    </row>
    <row r="104" spans="1:30" ht="12.75" hidden="1">
      <c r="A104" s="46"/>
      <c r="B104" s="61"/>
      <c r="C104" s="62"/>
      <c r="D104" s="62"/>
      <c r="E104" s="107" t="s">
        <v>197</v>
      </c>
      <c r="F104" s="62"/>
      <c r="G104" s="62"/>
      <c r="H104" s="62"/>
      <c r="I104" s="62"/>
      <c r="J104" s="62"/>
      <c r="K104" s="62"/>
      <c r="L104" s="62"/>
      <c r="M104" s="94"/>
      <c r="N104" s="95">
        <f>M27</f>
        <v>0</v>
      </c>
      <c r="S104" s="45" t="s">
        <v>273</v>
      </c>
      <c r="T104" s="45">
        <f>SUM(T102:T103)</f>
        <v>0</v>
      </c>
      <c r="V104"/>
      <c r="Z104" s="116">
        <v>3</v>
      </c>
      <c r="AD104" s="116">
        <v>0.85</v>
      </c>
    </row>
    <row r="105" spans="1:30" ht="12.75" hidden="1">
      <c r="A105" s="46"/>
      <c r="B105" s="61"/>
      <c r="C105" s="62"/>
      <c r="D105" s="62"/>
      <c r="E105" s="107" t="s">
        <v>198</v>
      </c>
      <c r="F105" s="62"/>
      <c r="G105" s="62"/>
      <c r="H105" s="62"/>
      <c r="I105" s="62"/>
      <c r="J105" s="62"/>
      <c r="K105" s="62"/>
      <c r="L105" s="62"/>
      <c r="M105" s="94"/>
      <c r="N105" s="95">
        <f>M34</f>
        <v>0</v>
      </c>
      <c r="V105"/>
      <c r="Z105" s="116">
        <v>4</v>
      </c>
      <c r="AD105" s="116">
        <v>0.78</v>
      </c>
    </row>
    <row r="106" spans="1:30" ht="12.75" hidden="1">
      <c r="A106" s="46"/>
      <c r="B106" s="61"/>
      <c r="C106" s="62"/>
      <c r="D106" s="62"/>
      <c r="E106" s="107" t="s">
        <v>199</v>
      </c>
      <c r="F106" s="62"/>
      <c r="G106" s="62"/>
      <c r="H106" s="62"/>
      <c r="I106" s="62"/>
      <c r="J106" s="62"/>
      <c r="K106" s="62"/>
      <c r="L106" s="62"/>
      <c r="M106" s="94"/>
      <c r="N106" s="95">
        <f>M37</f>
        <v>0</v>
      </c>
      <c r="O106" s="62"/>
      <c r="P106" s="62"/>
      <c r="V106"/>
      <c r="Z106" s="116">
        <v>5</v>
      </c>
      <c r="AD106" s="116">
        <v>0.79</v>
      </c>
    </row>
    <row r="107" spans="1:30" ht="12.75" hidden="1">
      <c r="A107" s="61"/>
      <c r="B107" s="61"/>
      <c r="C107" s="62"/>
      <c r="D107" s="62"/>
      <c r="E107" s="107" t="s">
        <v>200</v>
      </c>
      <c r="F107" s="62"/>
      <c r="G107" s="62"/>
      <c r="H107" s="62"/>
      <c r="I107" s="62"/>
      <c r="J107" s="62"/>
      <c r="K107" s="62"/>
      <c r="L107" s="62"/>
      <c r="M107" s="94"/>
      <c r="N107" s="95">
        <f>E42</f>
        <v>0</v>
      </c>
      <c r="O107" s="62"/>
      <c r="P107" s="62"/>
      <c r="V107"/>
      <c r="Z107" s="116">
        <v>6</v>
      </c>
      <c r="AD107" s="116">
        <v>0.4</v>
      </c>
    </row>
    <row r="108" spans="1:30" ht="12.75" hidden="1">
      <c r="A108" s="61"/>
      <c r="B108" s="61"/>
      <c r="C108" s="62"/>
      <c r="D108" s="62"/>
      <c r="E108" s="107" t="s">
        <v>201</v>
      </c>
      <c r="F108" s="62"/>
      <c r="G108" s="62"/>
      <c r="H108" s="62"/>
      <c r="I108" s="62"/>
      <c r="J108" s="62"/>
      <c r="K108" s="62"/>
      <c r="L108" s="62"/>
      <c r="M108" s="94"/>
      <c r="N108" s="95">
        <f>E43</f>
        <v>0</v>
      </c>
      <c r="O108" s="62"/>
      <c r="P108" s="62"/>
      <c r="V108"/>
      <c r="Z108" s="116">
        <v>7</v>
      </c>
      <c r="AD108" s="116">
        <v>0.3</v>
      </c>
    </row>
    <row r="109" spans="1:30" ht="12.75" hidden="1">
      <c r="A109" s="61"/>
      <c r="B109" s="61"/>
      <c r="C109" s="62"/>
      <c r="D109" s="62"/>
      <c r="E109" s="107" t="s">
        <v>202</v>
      </c>
      <c r="F109" s="62"/>
      <c r="G109" s="62"/>
      <c r="H109" s="62"/>
      <c r="I109" s="62"/>
      <c r="J109" s="62"/>
      <c r="K109" s="62"/>
      <c r="L109" s="62"/>
      <c r="M109" s="94"/>
      <c r="N109" s="95">
        <f>M52</f>
        <v>0</v>
      </c>
      <c r="O109" s="62"/>
      <c r="P109" s="62"/>
      <c r="V109"/>
      <c r="Z109" s="116">
        <v>8</v>
      </c>
      <c r="AD109" s="116">
        <v>0.22</v>
      </c>
    </row>
    <row r="110" spans="1:30" ht="12.75" hidden="1">
      <c r="A110" s="61"/>
      <c r="B110" s="61"/>
      <c r="C110" s="62"/>
      <c r="D110" s="62"/>
      <c r="E110" s="107" t="s">
        <v>203</v>
      </c>
      <c r="F110" s="62"/>
      <c r="G110" s="62"/>
      <c r="H110" s="62"/>
      <c r="I110" s="62"/>
      <c r="J110" s="62"/>
      <c r="K110" s="62"/>
      <c r="L110" s="62"/>
      <c r="M110" s="94"/>
      <c r="N110" s="95">
        <f>E53</f>
        <v>0</v>
      </c>
      <c r="O110" s="62"/>
      <c r="P110" s="62"/>
      <c r="V110"/>
      <c r="Z110" s="116">
        <v>9</v>
      </c>
      <c r="AD110" s="116">
        <v>-0.13</v>
      </c>
    </row>
    <row r="111" spans="1:30" ht="12.75" hidden="1">
      <c r="A111" s="61"/>
      <c r="B111" s="61"/>
      <c r="C111" s="61"/>
      <c r="D111" s="61"/>
      <c r="E111" s="107" t="s">
        <v>204</v>
      </c>
      <c r="F111" s="61"/>
      <c r="G111" s="61"/>
      <c r="H111" s="61"/>
      <c r="I111" s="61"/>
      <c r="J111" s="61"/>
      <c r="K111" s="61"/>
      <c r="L111" s="61"/>
      <c r="M111" s="94"/>
      <c r="N111" s="95">
        <f>M54</f>
        <v>0</v>
      </c>
      <c r="O111" s="62"/>
      <c r="P111" s="62"/>
      <c r="V111"/>
      <c r="Z111" s="116">
        <v>10</v>
      </c>
      <c r="AD111" s="116">
        <v>0</v>
      </c>
    </row>
    <row r="112" spans="1:30" ht="12.75" hidden="1">
      <c r="A112" s="61"/>
      <c r="B112" s="61"/>
      <c r="C112" s="62"/>
      <c r="D112" s="62"/>
      <c r="E112" s="107" t="s">
        <v>205</v>
      </c>
      <c r="F112" s="62"/>
      <c r="G112" s="62"/>
      <c r="H112" s="62"/>
      <c r="I112" s="62"/>
      <c r="J112" s="62"/>
      <c r="K112" s="62"/>
      <c r="L112" s="62"/>
      <c r="M112" s="94"/>
      <c r="N112" s="95">
        <f>M57</f>
        <v>0</v>
      </c>
      <c r="O112" s="62"/>
      <c r="P112" s="62"/>
      <c r="V112"/>
      <c r="Z112" s="116">
        <v>11</v>
      </c>
      <c r="AD112" s="116">
        <v>-0.32</v>
      </c>
    </row>
    <row r="113" spans="1:30" ht="12.75" hidden="1">
      <c r="A113" s="61"/>
      <c r="B113" s="61"/>
      <c r="C113" s="62"/>
      <c r="D113" s="62"/>
      <c r="E113" s="107" t="s">
        <v>206</v>
      </c>
      <c r="F113" s="62"/>
      <c r="G113" s="62"/>
      <c r="H113" s="62"/>
      <c r="I113" s="62"/>
      <c r="J113" s="62"/>
      <c r="K113" s="62"/>
      <c r="L113" s="62"/>
      <c r="M113" s="94"/>
      <c r="N113" s="95">
        <f>E58</f>
        <v>0</v>
      </c>
      <c r="O113" s="61"/>
      <c r="P113" s="61"/>
      <c r="V113"/>
      <c r="Z113" s="116">
        <v>12</v>
      </c>
      <c r="AD113" s="116">
        <v>-0.24</v>
      </c>
    </row>
    <row r="114" spans="1:30" ht="12.75" hidden="1">
      <c r="A114" s="61"/>
      <c r="B114" s="61"/>
      <c r="C114" s="62"/>
      <c r="D114" s="62"/>
      <c r="E114" s="107" t="s">
        <v>207</v>
      </c>
      <c r="F114" s="62"/>
      <c r="G114" s="62"/>
      <c r="H114" s="62"/>
      <c r="I114" s="62"/>
      <c r="J114" s="62"/>
      <c r="K114" s="62"/>
      <c r="L114" s="62"/>
      <c r="M114" s="94"/>
      <c r="N114" s="95">
        <f>E60</f>
        <v>0</v>
      </c>
      <c r="O114" s="62"/>
      <c r="P114" s="62"/>
      <c r="V114"/>
      <c r="Z114" s="116">
        <v>13</v>
      </c>
      <c r="AD114" s="116">
        <v>0.61</v>
      </c>
    </row>
    <row r="115" spans="1:30" ht="12.75" hidden="1">
      <c r="A115" s="61"/>
      <c r="B115" s="61"/>
      <c r="C115" s="62"/>
      <c r="D115" s="62"/>
      <c r="E115" s="107" t="s">
        <v>208</v>
      </c>
      <c r="F115" s="62"/>
      <c r="G115" s="62"/>
      <c r="H115" s="62"/>
      <c r="I115" s="62"/>
      <c r="J115" s="62"/>
      <c r="K115" s="62"/>
      <c r="L115" s="62"/>
      <c r="M115" s="94"/>
      <c r="N115" s="95">
        <f>E63</f>
        <v>0</v>
      </c>
      <c r="O115" s="62"/>
      <c r="P115" s="62"/>
      <c r="V115"/>
      <c r="Z115" s="116">
        <v>14</v>
      </c>
      <c r="AD115" s="116">
        <v>0.31</v>
      </c>
    </row>
    <row r="116" spans="1:30" ht="12.75" hidden="1">
      <c r="A116" s="61"/>
      <c r="B116" s="61"/>
      <c r="C116" s="61"/>
      <c r="D116" s="61"/>
      <c r="E116" s="107" t="s">
        <v>209</v>
      </c>
      <c r="F116" s="61"/>
      <c r="G116" s="61"/>
      <c r="H116" s="61"/>
      <c r="I116" s="61"/>
      <c r="J116" s="61"/>
      <c r="K116" s="61"/>
      <c r="L116" s="61"/>
      <c r="M116" s="61"/>
      <c r="N116" s="62"/>
      <c r="O116" s="62"/>
      <c r="P116" s="62"/>
      <c r="V116"/>
      <c r="Z116" s="116">
        <v>15</v>
      </c>
      <c r="AD116" s="116">
        <v>-0.06</v>
      </c>
    </row>
    <row r="117" spans="1:30" ht="12.75" hidden="1">
      <c r="A117" s="61"/>
      <c r="B117" s="61"/>
      <c r="C117" s="62"/>
      <c r="D117" s="62"/>
      <c r="E117" s="107" t="s">
        <v>210</v>
      </c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V117"/>
      <c r="Z117" s="116">
        <v>16</v>
      </c>
      <c r="AD117" s="116">
        <v>0.21</v>
      </c>
    </row>
    <row r="118" spans="1:30" ht="12.75" hidden="1">
      <c r="A118" s="61"/>
      <c r="B118" s="61"/>
      <c r="C118" s="62"/>
      <c r="D118" s="62"/>
      <c r="E118" s="107" t="s">
        <v>211</v>
      </c>
      <c r="F118" s="62"/>
      <c r="G118" s="62"/>
      <c r="H118" s="62"/>
      <c r="I118" s="62"/>
      <c r="J118" s="62"/>
      <c r="K118" s="62"/>
      <c r="L118" s="62"/>
      <c r="M118" s="62"/>
      <c r="N118" s="61"/>
      <c r="O118" s="61"/>
      <c r="P118" s="61"/>
      <c r="V118"/>
      <c r="Z118" s="116">
        <v>17</v>
      </c>
      <c r="AD118" s="116">
        <v>0.06</v>
      </c>
    </row>
    <row r="119" spans="1:22" ht="12.75" hidden="1">
      <c r="A119" s="61"/>
      <c r="B119" s="61"/>
      <c r="C119" s="61"/>
      <c r="D119" s="61"/>
      <c r="E119" s="107" t="s">
        <v>212</v>
      </c>
      <c r="F119" s="61"/>
      <c r="G119" s="61"/>
      <c r="H119" s="61"/>
      <c r="I119" s="61"/>
      <c r="J119" s="61"/>
      <c r="K119" s="61"/>
      <c r="L119" s="61"/>
      <c r="M119" s="61"/>
      <c r="N119" s="62"/>
      <c r="O119" s="62"/>
      <c r="P119" s="62"/>
      <c r="V119"/>
    </row>
    <row r="120" spans="1:22" ht="12.75" hidden="1">
      <c r="A120" s="61"/>
      <c r="B120" s="61"/>
      <c r="C120" s="62"/>
      <c r="D120" s="62"/>
      <c r="E120" s="107" t="s">
        <v>213</v>
      </c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V120"/>
    </row>
    <row r="121" spans="1:22" ht="12.75" hidden="1">
      <c r="A121" s="61"/>
      <c r="B121" s="61"/>
      <c r="C121" s="61"/>
      <c r="D121" s="61"/>
      <c r="E121" s="107" t="s">
        <v>214</v>
      </c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V121"/>
    </row>
    <row r="122" spans="1:22" ht="12.75" hidden="1">
      <c r="A122" s="61"/>
      <c r="B122" s="61"/>
      <c r="C122" s="62"/>
      <c r="D122" s="62"/>
      <c r="E122" s="107" t="s">
        <v>215</v>
      </c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V122"/>
    </row>
    <row r="123" spans="1:22" ht="12.75" hidden="1">
      <c r="A123" s="61"/>
      <c r="B123" s="61"/>
      <c r="C123" s="62"/>
      <c r="D123" s="62"/>
      <c r="E123" s="107" t="s">
        <v>216</v>
      </c>
      <c r="F123" s="62"/>
      <c r="G123" s="62"/>
      <c r="H123" s="62"/>
      <c r="I123" s="62"/>
      <c r="J123" s="62"/>
      <c r="K123" s="62"/>
      <c r="L123" s="62"/>
      <c r="M123" s="62"/>
      <c r="N123" s="61"/>
      <c r="O123" s="61"/>
      <c r="P123" s="61"/>
      <c r="V123"/>
    </row>
    <row r="124" spans="1:22" ht="12.75" hidden="1">
      <c r="A124" s="61"/>
      <c r="B124" s="61"/>
      <c r="C124" s="62"/>
      <c r="D124" s="62"/>
      <c r="E124" s="107" t="s">
        <v>217</v>
      </c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V124"/>
    </row>
    <row r="125" spans="1:22" ht="12.75" hidden="1">
      <c r="A125" s="61"/>
      <c r="B125" s="61"/>
      <c r="C125" s="61"/>
      <c r="D125" s="61"/>
      <c r="E125" s="107" t="s">
        <v>218</v>
      </c>
      <c r="F125" s="61"/>
      <c r="G125" s="61"/>
      <c r="H125" s="61"/>
      <c r="I125" s="61"/>
      <c r="J125" s="61"/>
      <c r="K125" s="61"/>
      <c r="L125" s="61"/>
      <c r="M125" s="61"/>
      <c r="N125" s="62"/>
      <c r="O125" s="62"/>
      <c r="P125" s="62"/>
      <c r="V125"/>
    </row>
    <row r="126" spans="1:22" ht="12.75" hidden="1">
      <c r="A126" s="61"/>
      <c r="B126" s="61"/>
      <c r="C126" s="62"/>
      <c r="D126" s="62"/>
      <c r="E126" s="107" t="s">
        <v>219</v>
      </c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V126"/>
    </row>
    <row r="127" spans="1:22" ht="12.75" hidden="1">
      <c r="A127" s="61"/>
      <c r="B127" s="61"/>
      <c r="C127" s="62"/>
      <c r="D127" s="62"/>
      <c r="E127" s="107" t="s">
        <v>220</v>
      </c>
      <c r="F127" s="62"/>
      <c r="G127" s="62"/>
      <c r="H127" s="62"/>
      <c r="I127" s="62"/>
      <c r="J127" s="62"/>
      <c r="K127" s="62"/>
      <c r="L127" s="62"/>
      <c r="M127" s="62"/>
      <c r="N127" s="61"/>
      <c r="O127" s="61"/>
      <c r="P127" s="61"/>
      <c r="V127"/>
    </row>
    <row r="128" spans="1:22" ht="12.75" hidden="1">
      <c r="A128" s="61"/>
      <c r="B128" s="61"/>
      <c r="C128" s="62"/>
      <c r="D128" s="62"/>
      <c r="E128" s="107" t="s">
        <v>221</v>
      </c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V128"/>
    </row>
    <row r="129" spans="1:22" ht="12.75" hidden="1">
      <c r="A129" s="61"/>
      <c r="B129" s="61"/>
      <c r="C129" s="62"/>
      <c r="D129" s="62"/>
      <c r="E129" s="107" t="s">
        <v>222</v>
      </c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V129"/>
    </row>
    <row r="130" spans="1:22" ht="12.75" hidden="1">
      <c r="A130" s="61"/>
      <c r="B130" s="61"/>
      <c r="C130" s="62"/>
      <c r="D130" s="62"/>
      <c r="E130" s="107" t="s">
        <v>223</v>
      </c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V130"/>
    </row>
    <row r="131" spans="1:22" ht="12.75" hidden="1">
      <c r="A131" s="46"/>
      <c r="B131" s="61"/>
      <c r="C131" s="62"/>
      <c r="D131" s="62"/>
      <c r="E131" s="107" t="s">
        <v>224</v>
      </c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V131"/>
    </row>
    <row r="132" spans="1:22" ht="12.75" hidden="1">
      <c r="A132" s="46"/>
      <c r="E132" s="107" t="s">
        <v>257</v>
      </c>
      <c r="N132" s="62"/>
      <c r="O132" s="62"/>
      <c r="P132" s="62"/>
      <c r="V132"/>
    </row>
    <row r="133" spans="1:22" ht="12.75" hidden="1">
      <c r="A133" s="46"/>
      <c r="E133" s="107" t="s">
        <v>225</v>
      </c>
      <c r="N133" s="62"/>
      <c r="O133" s="62"/>
      <c r="P133" s="62"/>
      <c r="V133"/>
    </row>
    <row r="134" spans="1:22" ht="12.75" hidden="1">
      <c r="A134" s="46"/>
      <c r="E134" s="107" t="s">
        <v>226</v>
      </c>
      <c r="V134"/>
    </row>
    <row r="135" spans="1:22" ht="12.75" hidden="1">
      <c r="A135" s="46"/>
      <c r="E135" s="107" t="s">
        <v>227</v>
      </c>
      <c r="V135"/>
    </row>
    <row r="136" spans="1:22" ht="12.75" hidden="1">
      <c r="A136" s="46"/>
      <c r="E136" s="107" t="s">
        <v>228</v>
      </c>
      <c r="V136"/>
    </row>
    <row r="137" spans="1:22" ht="12.75" hidden="1">
      <c r="A137" s="46"/>
      <c r="E137" s="107" t="s">
        <v>229</v>
      </c>
      <c r="V137"/>
    </row>
    <row r="138" spans="1:22" ht="12.75" hidden="1">
      <c r="A138" s="46"/>
      <c r="E138" s="107" t="s">
        <v>230</v>
      </c>
      <c r="V138"/>
    </row>
    <row r="139" spans="1:22" ht="12.75" hidden="1">
      <c r="A139" s="46"/>
      <c r="E139" s="107" t="s">
        <v>231</v>
      </c>
      <c r="V139"/>
    </row>
    <row r="140" spans="1:22" ht="12.75" hidden="1">
      <c r="A140" s="46"/>
      <c r="E140" s="107" t="s">
        <v>302</v>
      </c>
      <c r="V140"/>
    </row>
    <row r="141" spans="1:22" ht="12.75" hidden="1">
      <c r="A141" s="46"/>
      <c r="E141" s="107" t="s">
        <v>232</v>
      </c>
      <c r="V141"/>
    </row>
    <row r="142" spans="1:22" ht="12.75" hidden="1">
      <c r="A142" s="46"/>
      <c r="E142" s="107" t="s">
        <v>233</v>
      </c>
      <c r="V142"/>
    </row>
    <row r="143" spans="5:22" ht="12.75" hidden="1">
      <c r="E143" s="107" t="s">
        <v>234</v>
      </c>
      <c r="V143"/>
    </row>
    <row r="144" spans="5:22" ht="12.75" hidden="1">
      <c r="E144" s="107" t="s">
        <v>235</v>
      </c>
      <c r="V144"/>
    </row>
    <row r="145" spans="5:22" ht="12.75" hidden="1">
      <c r="E145" s="107" t="s">
        <v>236</v>
      </c>
      <c r="V145"/>
    </row>
    <row r="146" spans="5:22" ht="12.75" hidden="1">
      <c r="E146" s="107" t="s">
        <v>237</v>
      </c>
      <c r="V146"/>
    </row>
    <row r="147" spans="5:22" ht="12.75" hidden="1">
      <c r="E147" s="107" t="s">
        <v>238</v>
      </c>
      <c r="V147"/>
    </row>
    <row r="148" spans="5:22" ht="12.75" hidden="1">
      <c r="E148" s="107" t="s">
        <v>301</v>
      </c>
      <c r="V148"/>
    </row>
    <row r="149" spans="5:22" ht="12.75" hidden="1">
      <c r="E149" s="107" t="s">
        <v>239</v>
      </c>
      <c r="V149"/>
    </row>
    <row r="150" spans="5:22" ht="12.75" hidden="1">
      <c r="E150" s="107" t="s">
        <v>240</v>
      </c>
      <c r="V150"/>
    </row>
    <row r="151" spans="5:22" ht="12.75" hidden="1">
      <c r="E151" s="107" t="s">
        <v>241</v>
      </c>
      <c r="V151"/>
    </row>
    <row r="152" spans="5:22" ht="12.75" hidden="1">
      <c r="E152" s="107" t="s">
        <v>242</v>
      </c>
      <c r="V152"/>
    </row>
    <row r="153" spans="5:22" ht="12.75" hidden="1">
      <c r="E153" s="107" t="s">
        <v>243</v>
      </c>
      <c r="V153"/>
    </row>
    <row r="154" spans="5:22" ht="12.75" hidden="1">
      <c r="E154" s="107" t="s">
        <v>244</v>
      </c>
      <c r="V154"/>
    </row>
    <row r="155" spans="5:22" ht="12.75" hidden="1">
      <c r="E155" s="107" t="s">
        <v>245</v>
      </c>
      <c r="V155"/>
    </row>
    <row r="156" spans="5:22" ht="12.75" hidden="1">
      <c r="E156" s="107" t="s">
        <v>246</v>
      </c>
      <c r="V156"/>
    </row>
    <row r="157" spans="5:22" ht="12.75" hidden="1">
      <c r="E157" s="107" t="s">
        <v>247</v>
      </c>
      <c r="V157"/>
    </row>
    <row r="158" spans="5:22" ht="12.75" hidden="1">
      <c r="E158" s="107" t="s">
        <v>248</v>
      </c>
      <c r="V158"/>
    </row>
    <row r="159" spans="5:22" ht="12.75" hidden="1">
      <c r="E159" s="107" t="s">
        <v>249</v>
      </c>
      <c r="V159"/>
    </row>
    <row r="160" spans="5:22" ht="12.75" hidden="1">
      <c r="E160" s="107" t="s">
        <v>250</v>
      </c>
      <c r="V160"/>
    </row>
    <row r="161" spans="5:22" ht="12.75" hidden="1">
      <c r="E161" s="107" t="s">
        <v>251</v>
      </c>
      <c r="V161"/>
    </row>
    <row r="162" spans="5:22" ht="12.75" hidden="1">
      <c r="E162" s="107" t="s">
        <v>252</v>
      </c>
      <c r="V162"/>
    </row>
    <row r="163" spans="5:22" ht="12.75" hidden="1">
      <c r="E163" s="107" t="s">
        <v>253</v>
      </c>
      <c r="V163"/>
    </row>
    <row r="164" spans="5:22" ht="12.75" hidden="1">
      <c r="E164" s="107" t="s">
        <v>254</v>
      </c>
      <c r="V164"/>
    </row>
    <row r="165" spans="5:22" ht="12.75" hidden="1">
      <c r="E165" s="107" t="s">
        <v>255</v>
      </c>
      <c r="V165"/>
    </row>
    <row r="166" spans="5:22" ht="12.75" hidden="1">
      <c r="E166" s="107" t="s">
        <v>256</v>
      </c>
      <c r="V166"/>
    </row>
    <row r="167" ht="12.75">
      <c r="V167"/>
    </row>
    <row r="257" ht="12.75">
      <c r="E257" s="46"/>
    </row>
    <row r="258" spans="2:13" ht="12.75">
      <c r="B258" s="46"/>
      <c r="C258" s="46"/>
      <c r="D258" s="46"/>
      <c r="F258" s="46"/>
      <c r="G258" s="46"/>
      <c r="H258" s="46"/>
      <c r="I258" s="46"/>
      <c r="J258" s="46"/>
      <c r="K258" s="46"/>
      <c r="L258" s="46"/>
      <c r="M258" s="46"/>
    </row>
    <row r="260" spans="14:16" ht="12.75">
      <c r="N260" s="46"/>
      <c r="O260" s="46"/>
      <c r="P260" s="46"/>
    </row>
    <row r="268" ht="12.75">
      <c r="A268" s="46"/>
    </row>
  </sheetData>
  <sheetProtection password="DD97" sheet="1"/>
  <mergeCells count="10">
    <mergeCell ref="V96:AC96"/>
    <mergeCell ref="Z1:AD1"/>
    <mergeCell ref="B99:E99"/>
    <mergeCell ref="C3:L3"/>
    <mergeCell ref="N3:S3"/>
    <mergeCell ref="C5:L5"/>
    <mergeCell ref="N5:S5"/>
    <mergeCell ref="Z5:AD5"/>
    <mergeCell ref="Z7:AB7"/>
    <mergeCell ref="E96:L96"/>
  </mergeCells>
  <conditionalFormatting sqref="AD97:AD99">
    <cfRule type="containsBlanks" priority="7" dxfId="2">
      <formula>LEN(TRIM(AD97))=0</formula>
    </cfRule>
    <cfRule type="cellIs" priority="8" dxfId="4" operator="greaterThan">
      <formula>0.8</formula>
    </cfRule>
    <cfRule type="cellIs" priority="9" dxfId="3" operator="between">
      <formula>0.6</formula>
      <formula>0.7999999999</formula>
    </cfRule>
    <cfRule type="cellIs" priority="10" dxfId="12" operator="between">
      <formula>0.4</formula>
      <formula>0.5999999999</formula>
    </cfRule>
    <cfRule type="cellIs" priority="11" dxfId="13" operator="between">
      <formula>0.2</formula>
      <formula>0.39999999999999</formula>
    </cfRule>
    <cfRule type="cellIs" priority="12" dxfId="14" operator="between">
      <formula>0</formula>
      <formula>0.199999999999999</formula>
    </cfRule>
  </conditionalFormatting>
  <conditionalFormatting sqref="AD100">
    <cfRule type="containsBlanks" priority="1" dxfId="2">
      <formula>LEN(TRIM(AD100))=0</formula>
    </cfRule>
    <cfRule type="cellIs" priority="2" dxfId="0" operator="greaterThan">
      <formula>0.8</formula>
    </cfRule>
    <cfRule type="cellIs" priority="3" dxfId="0" operator="between">
      <formula>0.6</formula>
      <formula>0.7999999999</formula>
    </cfRule>
    <cfRule type="cellIs" priority="4" dxfId="0" operator="between">
      <formula>0.4</formula>
      <formula>0.5999999999</formula>
    </cfRule>
    <cfRule type="cellIs" priority="5" dxfId="0" operator="between">
      <formula>0.2</formula>
      <formula>0.39999999999999</formula>
    </cfRule>
    <cfRule type="cellIs" priority="6" dxfId="0" operator="between">
      <formula>0</formula>
      <formula>0.199999999999999</formula>
    </cfRule>
  </conditionalFormatting>
  <dataValidations count="7">
    <dataValidation type="whole" allowBlank="1" showInputMessage="1" showErrorMessage="1" error="X Koordinaten eingeben&#10;Format CH1903 / LV03&#10;ohne Dezimalstelle&#10;&gt; 480000&#10;&lt; 850000" sqref="AC3">
      <formula1>480000</formula1>
      <formula2>850000</formula2>
    </dataValidation>
    <dataValidation type="whole" allowBlank="1" showInputMessage="1" showErrorMessage="1" error="insérer un nombre entier &lt;10000" sqref="E49 E51 E53:E55 E57:E58 E60 E62:E63 E30:E40 V69 E9:E11 E14:E17 E21:E24 M27 E42:E45 V24:V25 V10:V20 V22 V45 V27:V43 V71:V94 V47:V67 E88:E94 E78:E86 E66:E76 M34 M37 M52 M10 M54 E26 M15 M96 AD96">
      <formula1>1</formula1>
      <formula2>10000</formula2>
    </dataValidation>
    <dataValidation type="whole" allowBlank="1" showInputMessage="1" showErrorMessage="1" error="Y Koordinaten eingeben&#10;Format: CH1903 / LV03&#10;ohne Dezimalstelle&#10;&gt; 062000&#10;&lt; 300000" sqref="AD3">
      <formula1>62000</formula1>
      <formula2>300000</formula2>
    </dataValidation>
    <dataValidation type="whole" allowBlank="1" showInputMessage="1" showErrorMessage="1" error="Höhe &gt; 190 m ü. M.&#10;als ganze Zahl eingeben" sqref="N5:S5">
      <formula1>190</formula1>
      <formula2>4500</formula2>
    </dataValidation>
    <dataValidation type="date" allowBlank="1" showInputMessage="1" showErrorMessage="1" error="Datum Probenahme eingeben&#10;Format tt.mm.jjjj" sqref="N3:S3">
      <formula1>40179</formula1>
      <formula2>47848</formula2>
    </dataValidation>
    <dataValidation type="list" allowBlank="1" showInputMessage="1" showErrorMessage="1" sqref="Z7:AB7">
      <formula1>$Z$102:$Z$118</formula1>
    </dataValidation>
    <dataValidation type="list" allowBlank="1" showInputMessage="1" showErrorMessage="1" sqref="V96:AC96 E96:L96">
      <formula1>OFFSET($E$102:$E$166,MATCH(V96&amp;"*",$E$102:$E$166,0)-1,,COUNTIF($E$102:$E$166,V96&amp;"*"))</formula1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58" r:id="rId3"/>
  <ignoredErrors>
    <ignoredError sqref="D71 N110 V9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68"/>
  <sheetViews>
    <sheetView view="pageBreakPreview" zoomScale="80" zoomScaleSheetLayoutView="80" zoomScalePageLayoutView="0" workbookViewId="0" topLeftCell="A1">
      <selection activeCell="S175" sqref="S175"/>
    </sheetView>
  </sheetViews>
  <sheetFormatPr defaultColWidth="11.421875" defaultRowHeight="12.75"/>
  <cols>
    <col min="1" max="1" width="2.421875" style="45" customWidth="1"/>
    <col min="2" max="2" width="16.7109375" style="45" customWidth="1"/>
    <col min="3" max="4" width="2.7109375" style="45" customWidth="1"/>
    <col min="5" max="5" width="12.7109375" style="45" customWidth="1"/>
    <col min="6" max="6" width="2.7109375" style="45" customWidth="1"/>
    <col min="7" max="7" width="2.7109375" style="45" hidden="1" customWidth="1"/>
    <col min="8" max="11" width="2.7109375" style="45" customWidth="1"/>
    <col min="12" max="12" width="9.7109375" style="45" customWidth="1"/>
    <col min="13" max="13" width="10.57421875" style="45" customWidth="1"/>
    <col min="14" max="14" width="2.7109375" style="45" customWidth="1"/>
    <col min="15" max="16" width="2.7109375" style="45" hidden="1" customWidth="1"/>
    <col min="17" max="17" width="2.7109375" style="45" customWidth="1"/>
    <col min="18" max="18" width="2.421875" style="45" customWidth="1"/>
    <col min="19" max="19" width="16.7109375" style="45" customWidth="1"/>
    <col min="20" max="20" width="3.28125" style="45" customWidth="1"/>
    <col min="21" max="21" width="2.7109375" style="45" customWidth="1"/>
    <col min="22" max="22" width="12.7109375" style="45" customWidth="1"/>
    <col min="23" max="23" width="2.7109375" style="45" customWidth="1"/>
    <col min="24" max="24" width="2.7109375" style="45" hidden="1" customWidth="1"/>
    <col min="25" max="28" width="2.7109375" style="45" customWidth="1"/>
    <col min="29" max="30" width="9.7109375" style="45" customWidth="1"/>
    <col min="31" max="33" width="11.421875" style="45" hidden="1" customWidth="1"/>
    <col min="34" max="43" width="5.7109375" style="45" hidden="1" customWidth="1"/>
    <col min="44" max="16384" width="11.421875" style="45" customWidth="1"/>
  </cols>
  <sheetData>
    <row r="1" spans="1:43" s="11" customFormat="1" ht="35.25" customHeight="1">
      <c r="A1" s="1" t="s">
        <v>157</v>
      </c>
      <c r="B1" s="2"/>
      <c r="C1" s="2"/>
      <c r="D1" s="2"/>
      <c r="E1" s="2"/>
      <c r="F1" s="2"/>
      <c r="G1" s="2"/>
      <c r="H1" s="3"/>
      <c r="I1" s="3"/>
      <c r="J1" s="3"/>
      <c r="K1" s="3"/>
      <c r="L1" s="4"/>
      <c r="M1" s="4" t="s">
        <v>149</v>
      </c>
      <c r="N1" s="5"/>
      <c r="O1" s="5"/>
      <c r="P1" s="5"/>
      <c r="Q1" s="6"/>
      <c r="R1" s="7"/>
      <c r="S1" s="8"/>
      <c r="T1" s="7"/>
      <c r="U1" s="9"/>
      <c r="V1" s="9"/>
      <c r="W1" s="9"/>
      <c r="X1" s="9"/>
      <c r="Y1" s="10" t="s">
        <v>75</v>
      </c>
      <c r="Z1" s="131"/>
      <c r="AA1" s="131"/>
      <c r="AB1" s="131"/>
      <c r="AC1" s="131"/>
      <c r="AD1" s="131"/>
      <c r="AE1" s="45"/>
      <c r="AF1" s="45"/>
      <c r="AH1" s="45"/>
      <c r="AI1" s="45"/>
      <c r="AJ1" s="45"/>
      <c r="AM1" s="45"/>
      <c r="AN1" s="45"/>
      <c r="AO1" s="45"/>
      <c r="AP1" s="45"/>
      <c r="AQ1" s="45"/>
    </row>
    <row r="2" spans="1:43" s="13" customFormat="1" ht="4.5" customHeight="1">
      <c r="A2" s="12"/>
      <c r="C2" s="14"/>
      <c r="D2" s="14"/>
      <c r="E2" s="14"/>
      <c r="F2" s="14"/>
      <c r="G2" s="14"/>
      <c r="H2" s="14"/>
      <c r="I2" s="14"/>
      <c r="J2" s="14"/>
      <c r="K2" s="14"/>
      <c r="L2" s="15"/>
      <c r="M2" s="15"/>
      <c r="N2" s="15"/>
      <c r="O2" s="15"/>
      <c r="P2" s="15"/>
      <c r="Q2" s="16"/>
      <c r="U2" s="17"/>
      <c r="V2" s="17"/>
      <c r="W2" s="17"/>
      <c r="X2" s="17"/>
      <c r="Y2" s="17"/>
      <c r="Z2" s="15"/>
      <c r="AA2" s="17"/>
      <c r="AB2" s="12"/>
      <c r="AE2" s="45"/>
      <c r="AF2" s="45"/>
      <c r="AH2" s="45"/>
      <c r="AI2" s="45"/>
      <c r="AJ2" s="45"/>
      <c r="AM2" s="45"/>
      <c r="AN2" s="45"/>
      <c r="AO2" s="45"/>
      <c r="AP2" s="45"/>
      <c r="AQ2" s="45"/>
    </row>
    <row r="3" spans="1:43" s="13" customFormat="1" ht="19.5" customHeight="1">
      <c r="A3" s="18"/>
      <c r="B3" s="17" t="s">
        <v>72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7" t="s">
        <v>0</v>
      </c>
      <c r="N3" s="136"/>
      <c r="O3" s="137"/>
      <c r="P3" s="137"/>
      <c r="Q3" s="137"/>
      <c r="R3" s="137"/>
      <c r="S3" s="137"/>
      <c r="Y3" s="17" t="s">
        <v>76</v>
      </c>
      <c r="AC3" s="73"/>
      <c r="AD3" s="74"/>
      <c r="AE3" s="45"/>
      <c r="AF3" s="45"/>
      <c r="AH3" s="45"/>
      <c r="AI3" s="45"/>
      <c r="AJ3" s="45"/>
      <c r="AM3" s="45"/>
      <c r="AN3" s="45"/>
      <c r="AO3" s="45"/>
      <c r="AP3" s="45"/>
      <c r="AQ3" s="45"/>
    </row>
    <row r="4" spans="1:43" s="13" customFormat="1" ht="4.5" customHeight="1">
      <c r="A4" s="18"/>
      <c r="B4" s="18"/>
      <c r="M4" s="15"/>
      <c r="N4" s="15"/>
      <c r="O4" s="15"/>
      <c r="P4" s="15"/>
      <c r="Y4" s="15"/>
      <c r="AE4" s="45"/>
      <c r="AF4" s="45"/>
      <c r="AH4" s="45"/>
      <c r="AI4" s="45"/>
      <c r="AJ4" s="45"/>
      <c r="AM4" s="45"/>
      <c r="AN4" s="45"/>
      <c r="AO4" s="45"/>
      <c r="AP4" s="45"/>
      <c r="AQ4" s="45"/>
    </row>
    <row r="5" spans="1:32" s="13" customFormat="1" ht="19.5" customHeight="1">
      <c r="A5" s="18"/>
      <c r="B5" s="17" t="s">
        <v>77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7" t="s">
        <v>71</v>
      </c>
      <c r="N5" s="137"/>
      <c r="O5" s="137"/>
      <c r="P5" s="137"/>
      <c r="Q5" s="137"/>
      <c r="R5" s="137"/>
      <c r="S5" s="137"/>
      <c r="T5" s="12"/>
      <c r="U5" s="17"/>
      <c r="V5" s="17"/>
      <c r="W5" s="17"/>
      <c r="X5" s="17"/>
      <c r="Y5" s="17" t="s">
        <v>293</v>
      </c>
      <c r="Z5" s="135"/>
      <c r="AA5" s="135"/>
      <c r="AB5" s="135"/>
      <c r="AC5" s="135"/>
      <c r="AD5" s="135"/>
      <c r="AE5" s="45"/>
      <c r="AF5" s="45"/>
    </row>
    <row r="6" spans="1:43" s="13" customFormat="1" ht="4.5" customHeight="1">
      <c r="A6" s="18"/>
      <c r="B6" s="17"/>
      <c r="C6" s="19"/>
      <c r="D6" s="19"/>
      <c r="E6" s="19"/>
      <c r="F6" s="19"/>
      <c r="G6" s="19"/>
      <c r="H6" s="19"/>
      <c r="I6" s="19"/>
      <c r="J6" s="19"/>
      <c r="K6" s="19"/>
      <c r="L6" s="19"/>
      <c r="M6" s="15"/>
      <c r="N6" s="15"/>
      <c r="O6" s="15"/>
      <c r="P6" s="15"/>
      <c r="T6" s="12"/>
      <c r="U6" s="17"/>
      <c r="V6" s="17"/>
      <c r="W6" s="17"/>
      <c r="X6" s="17"/>
      <c r="Y6" s="15"/>
      <c r="AE6" s="45"/>
      <c r="AF6" s="45"/>
      <c r="AH6" s="45"/>
      <c r="AI6" s="45"/>
      <c r="AJ6" s="45"/>
      <c r="AM6" s="45"/>
      <c r="AN6" s="45"/>
      <c r="AO6" s="45"/>
      <c r="AP6" s="45"/>
      <c r="AQ6" s="45"/>
    </row>
    <row r="7" spans="1:40" s="23" customFormat="1" ht="13.5" customHeight="1">
      <c r="A7" s="20" t="s">
        <v>150</v>
      </c>
      <c r="B7" s="20"/>
      <c r="C7" s="21"/>
      <c r="D7" s="21"/>
      <c r="E7" s="21"/>
      <c r="F7" s="21"/>
      <c r="G7" s="21"/>
      <c r="H7" s="21"/>
      <c r="I7" s="21"/>
      <c r="J7" s="21"/>
      <c r="K7" s="21"/>
      <c r="L7" s="22"/>
      <c r="M7" s="22"/>
      <c r="N7" s="22"/>
      <c r="O7" s="22"/>
      <c r="P7" s="22"/>
      <c r="Q7" s="20"/>
      <c r="R7" s="20"/>
      <c r="S7" s="20"/>
      <c r="T7" s="21"/>
      <c r="U7" s="21"/>
      <c r="V7" s="21"/>
      <c r="W7" s="21"/>
      <c r="X7" s="21"/>
      <c r="Y7" s="89" t="s">
        <v>286</v>
      </c>
      <c r="Z7" s="138"/>
      <c r="AA7" s="138"/>
      <c r="AB7" s="138"/>
      <c r="AC7" s="88" t="s">
        <v>282</v>
      </c>
      <c r="AD7" s="21">
        <f>IF($Z7&lt;&gt;"",IF(VLOOKUP($Z7,$Z$102:$AD$118,5,FALSE)&lt;&gt;"",VLOOKUP($Z7,$Z$102:$AD$118,5,FALSE),""),"")</f>
      </c>
      <c r="AH7" s="46" t="s">
        <v>274</v>
      </c>
      <c r="AI7" s="119"/>
      <c r="AJ7" s="46" t="s">
        <v>275</v>
      </c>
      <c r="AN7" s="46" t="s">
        <v>276</v>
      </c>
    </row>
    <row r="8" spans="3:43" s="24" customFormat="1" ht="6" customHeight="1">
      <c r="C8" s="25"/>
      <c r="D8" s="47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T8" s="25"/>
      <c r="U8" s="47"/>
      <c r="V8" s="25"/>
      <c r="W8" s="25"/>
      <c r="X8" s="25"/>
      <c r="Y8" s="25"/>
      <c r="Z8" s="25"/>
      <c r="AA8" s="25"/>
      <c r="AB8" s="25"/>
      <c r="AC8" s="25"/>
      <c r="AD8" s="25"/>
      <c r="AE8" s="23"/>
      <c r="AF8" s="23"/>
      <c r="AH8" s="23"/>
      <c r="AI8" s="23"/>
      <c r="AJ8" s="23"/>
      <c r="AM8" s="23"/>
      <c r="AN8" s="23"/>
      <c r="AO8" s="23"/>
      <c r="AP8" s="23"/>
      <c r="AQ8" s="23"/>
    </row>
    <row r="9" spans="1:43" s="26" customFormat="1" ht="13.5" customHeight="1">
      <c r="A9" s="24" t="s">
        <v>78</v>
      </c>
      <c r="E9" s="27"/>
      <c r="F9" s="28"/>
      <c r="G9" s="29">
        <f>IF(E9&lt;&gt;0,E9,"")</f>
      </c>
      <c r="H9" s="29"/>
      <c r="I9" s="29"/>
      <c r="J9" s="29"/>
      <c r="K9" s="29"/>
      <c r="L9" s="29"/>
      <c r="M9" s="29"/>
      <c r="N9" s="30"/>
      <c r="O9" s="30">
        <f>D9</f>
        <v>0</v>
      </c>
      <c r="P9" s="26">
        <f>U9</f>
        <v>0</v>
      </c>
      <c r="R9" s="24" t="s">
        <v>151</v>
      </c>
      <c r="V9" s="31"/>
      <c r="W9" s="69"/>
      <c r="X9" s="69"/>
      <c r="Y9" s="69"/>
      <c r="Z9" s="69"/>
      <c r="AA9" s="69"/>
      <c r="AB9" s="69"/>
      <c r="AC9" s="69"/>
      <c r="AD9" s="69"/>
      <c r="AE9" s="45"/>
      <c r="AF9" s="45"/>
      <c r="AH9" s="120"/>
      <c r="AI9" s="45"/>
      <c r="AJ9" s="45"/>
      <c r="AL9" s="46" t="s">
        <v>277</v>
      </c>
      <c r="AM9" s="23"/>
      <c r="AN9" s="45"/>
      <c r="AO9" s="45"/>
      <c r="AP9" s="45"/>
      <c r="AQ9" s="45"/>
    </row>
    <row r="10" spans="1:43" s="26" customFormat="1" ht="13.5" customHeight="1">
      <c r="A10" s="24" t="s">
        <v>79</v>
      </c>
      <c r="E10" s="27"/>
      <c r="F10" s="28"/>
      <c r="G10" s="29">
        <f aca="true" t="shared" si="0" ref="G10:G73">IF(E10&lt;&gt;0,E10,"")</f>
      </c>
      <c r="H10" s="29"/>
      <c r="I10" s="29"/>
      <c r="J10" s="29"/>
      <c r="K10" s="29"/>
      <c r="L10" s="76" t="s">
        <v>174</v>
      </c>
      <c r="M10" s="75"/>
      <c r="N10" s="30"/>
      <c r="O10" s="30">
        <f aca="true" t="shared" si="1" ref="O10:O73">D10</f>
        <v>0</v>
      </c>
      <c r="P10" s="26">
        <f aca="true" t="shared" si="2" ref="P10:P73">U10</f>
      </c>
      <c r="S10" s="26" t="s">
        <v>1</v>
      </c>
      <c r="U10" s="26">
        <f>IF(V10&gt;2,3,"")</f>
      </c>
      <c r="V10" s="27"/>
      <c r="W10" s="28"/>
      <c r="X10" s="29">
        <f aca="true" t="shared" si="3" ref="X10:X73">IF(V10&lt;&gt;0,V10,"")</f>
      </c>
      <c r="Y10" s="29"/>
      <c r="Z10" s="29"/>
      <c r="AA10" s="29"/>
      <c r="AB10" s="29"/>
      <c r="AC10" s="29"/>
      <c r="AD10" s="29"/>
      <c r="AE10" s="45"/>
      <c r="AF10" s="45"/>
      <c r="AH10" s="120"/>
      <c r="AI10" s="120">
        <v>0</v>
      </c>
      <c r="AJ10" s="121"/>
      <c r="AK10" s="121" t="e">
        <f>LOG(4*X10+1)*AI10</f>
        <v>#VALUE!</v>
      </c>
      <c r="AL10" s="121"/>
      <c r="AM10" s="121" t="e">
        <f>LOG(4*X10+1)</f>
        <v>#VALUE!</v>
      </c>
      <c r="AN10" s="121">
        <f aca="true" t="shared" si="4" ref="AN10:AQ73">IF(TYPE(AJ10)=1,IF(AJ10&gt;=0,AJ10,""),"")</f>
        <v>0</v>
      </c>
      <c r="AO10" s="121">
        <f t="shared" si="4"/>
      </c>
      <c r="AP10" s="121">
        <f t="shared" si="4"/>
        <v>0</v>
      </c>
      <c r="AQ10" s="121">
        <f t="shared" si="4"/>
      </c>
    </row>
    <row r="11" spans="1:43" s="24" customFormat="1" ht="13.5" customHeight="1">
      <c r="A11" s="24" t="s">
        <v>80</v>
      </c>
      <c r="B11" s="26"/>
      <c r="E11" s="27"/>
      <c r="F11" s="28"/>
      <c r="G11" s="29">
        <f t="shared" si="0"/>
      </c>
      <c r="H11" s="29"/>
      <c r="I11" s="29"/>
      <c r="J11" s="29"/>
      <c r="K11" s="29"/>
      <c r="L11" s="29"/>
      <c r="M11" s="29"/>
      <c r="N11" s="32"/>
      <c r="O11" s="30">
        <f t="shared" si="1"/>
        <v>0</v>
      </c>
      <c r="P11" s="26">
        <f t="shared" si="2"/>
        <v>0</v>
      </c>
      <c r="R11" s="26"/>
      <c r="S11" s="26" t="s">
        <v>2</v>
      </c>
      <c r="T11" s="26"/>
      <c r="V11" s="27"/>
      <c r="W11" s="28"/>
      <c r="X11" s="29">
        <f t="shared" si="3"/>
      </c>
      <c r="Y11" s="29"/>
      <c r="Z11" s="29"/>
      <c r="AA11" s="29"/>
      <c r="AB11" s="29"/>
      <c r="AC11" s="29"/>
      <c r="AD11" s="29"/>
      <c r="AE11" s="23"/>
      <c r="AF11" s="23"/>
      <c r="AH11" s="120"/>
      <c r="AI11" s="120">
        <v>0</v>
      </c>
      <c r="AJ11" s="122"/>
      <c r="AK11" s="121" t="e">
        <f aca="true" t="shared" si="5" ref="AK11:AK19">LOG(4*X11+1)*AI11</f>
        <v>#VALUE!</v>
      </c>
      <c r="AL11" s="123"/>
      <c r="AM11" s="121" t="e">
        <f aca="true" t="shared" si="6" ref="AM11:AM19">LOG(4*X11+1)</f>
        <v>#VALUE!</v>
      </c>
      <c r="AN11" s="121">
        <f t="shared" si="4"/>
        <v>0</v>
      </c>
      <c r="AO11" s="121">
        <f t="shared" si="4"/>
      </c>
      <c r="AP11" s="121">
        <f t="shared" si="4"/>
        <v>0</v>
      </c>
      <c r="AQ11" s="121">
        <f t="shared" si="4"/>
      </c>
    </row>
    <row r="12" spans="1:43" s="24" customFormat="1" ht="13.5" customHeight="1">
      <c r="A12" s="33"/>
      <c r="B12" s="34"/>
      <c r="C12" s="33"/>
      <c r="D12" s="33"/>
      <c r="E12" s="34"/>
      <c r="F12" s="33"/>
      <c r="G12" s="33">
        <f t="shared" si="0"/>
      </c>
      <c r="H12" s="33"/>
      <c r="I12" s="33"/>
      <c r="J12" s="33"/>
      <c r="K12" s="33"/>
      <c r="L12" s="33"/>
      <c r="M12" s="33"/>
      <c r="N12" s="32"/>
      <c r="O12" s="30">
        <f t="shared" si="1"/>
        <v>0</v>
      </c>
      <c r="P12" s="26">
        <f t="shared" si="2"/>
        <v>0</v>
      </c>
      <c r="R12" s="26"/>
      <c r="S12" s="26" t="s">
        <v>3</v>
      </c>
      <c r="T12" s="35"/>
      <c r="V12" s="27"/>
      <c r="W12" s="28"/>
      <c r="X12" s="29">
        <f t="shared" si="3"/>
      </c>
      <c r="Y12" s="29"/>
      <c r="Z12" s="29"/>
      <c r="AA12" s="29"/>
      <c r="AB12" s="29"/>
      <c r="AC12" s="29"/>
      <c r="AD12" s="29"/>
      <c r="AE12" s="23"/>
      <c r="AF12" s="23"/>
      <c r="AH12" s="120"/>
      <c r="AI12" s="120">
        <v>0</v>
      </c>
      <c r="AJ12" s="122"/>
      <c r="AK12" s="121" t="e">
        <f t="shared" si="5"/>
        <v>#VALUE!</v>
      </c>
      <c r="AL12" s="123"/>
      <c r="AM12" s="121" t="e">
        <f t="shared" si="6"/>
        <v>#VALUE!</v>
      </c>
      <c r="AN12" s="121">
        <f t="shared" si="4"/>
        <v>0</v>
      </c>
      <c r="AO12" s="121">
        <f t="shared" si="4"/>
      </c>
      <c r="AP12" s="121">
        <f t="shared" si="4"/>
        <v>0</v>
      </c>
      <c r="AQ12" s="121">
        <f t="shared" si="4"/>
      </c>
    </row>
    <row r="13" spans="1:43" s="26" customFormat="1" ht="13.5" customHeight="1">
      <c r="A13" s="24" t="s">
        <v>81</v>
      </c>
      <c r="F13" s="109"/>
      <c r="G13" s="109">
        <f t="shared" si="0"/>
      </c>
      <c r="H13" s="109"/>
      <c r="I13" s="109"/>
      <c r="J13" s="109"/>
      <c r="K13" s="109"/>
      <c r="L13" s="109"/>
      <c r="M13" s="109"/>
      <c r="N13" s="30"/>
      <c r="O13" s="30">
        <f t="shared" si="1"/>
        <v>0</v>
      </c>
      <c r="P13" s="26">
        <f t="shared" si="2"/>
        <v>0</v>
      </c>
      <c r="S13" s="26" t="s">
        <v>5</v>
      </c>
      <c r="V13" s="27"/>
      <c r="W13" s="28"/>
      <c r="X13" s="29">
        <f t="shared" si="3"/>
      </c>
      <c r="Y13" s="29"/>
      <c r="Z13" s="29"/>
      <c r="AA13" s="29"/>
      <c r="AB13" s="29"/>
      <c r="AC13" s="29"/>
      <c r="AD13" s="29"/>
      <c r="AE13" s="45"/>
      <c r="AF13" s="45"/>
      <c r="AH13" s="120"/>
      <c r="AI13" s="120">
        <v>0</v>
      </c>
      <c r="AJ13" s="121"/>
      <c r="AK13" s="121" t="e">
        <f t="shared" si="5"/>
        <v>#VALUE!</v>
      </c>
      <c r="AL13" s="124"/>
      <c r="AM13" s="121" t="e">
        <f t="shared" si="6"/>
        <v>#VALUE!</v>
      </c>
      <c r="AN13" s="121">
        <f t="shared" si="4"/>
        <v>0</v>
      </c>
      <c r="AO13" s="121">
        <f t="shared" si="4"/>
      </c>
      <c r="AP13" s="121">
        <f t="shared" si="4"/>
        <v>0</v>
      </c>
      <c r="AQ13" s="121">
        <f t="shared" si="4"/>
      </c>
    </row>
    <row r="14" spans="1:43" s="26" customFormat="1" ht="13.5" customHeight="1">
      <c r="A14" s="24"/>
      <c r="B14" s="26" t="s">
        <v>82</v>
      </c>
      <c r="E14" s="27"/>
      <c r="F14" s="28"/>
      <c r="G14" s="29">
        <f t="shared" si="0"/>
      </c>
      <c r="H14" s="29"/>
      <c r="I14" s="29"/>
      <c r="J14" s="29"/>
      <c r="K14" s="29"/>
      <c r="L14" s="29"/>
      <c r="M14" s="29"/>
      <c r="N14" s="30"/>
      <c r="O14" s="30">
        <f t="shared" si="1"/>
        <v>0</v>
      </c>
      <c r="P14" s="26">
        <f t="shared" si="2"/>
        <v>0</v>
      </c>
      <c r="S14" s="26" t="s">
        <v>6</v>
      </c>
      <c r="V14" s="27"/>
      <c r="W14" s="28"/>
      <c r="X14" s="29">
        <f t="shared" si="3"/>
      </c>
      <c r="Y14" s="29"/>
      <c r="Z14" s="29"/>
      <c r="AA14" s="29"/>
      <c r="AB14" s="29"/>
      <c r="AC14" s="29"/>
      <c r="AD14" s="29"/>
      <c r="AE14" s="45"/>
      <c r="AF14" s="45"/>
      <c r="AH14" s="120">
        <v>0</v>
      </c>
      <c r="AI14" s="120">
        <v>0</v>
      </c>
      <c r="AJ14" s="121" t="e">
        <f>LOG(4*G14+1)*AH14</f>
        <v>#VALUE!</v>
      </c>
      <c r="AK14" s="121" t="e">
        <f t="shared" si="5"/>
        <v>#VALUE!</v>
      </c>
      <c r="AL14" s="121" t="e">
        <f>LOG(4*G14+1)</f>
        <v>#VALUE!</v>
      </c>
      <c r="AM14" s="121" t="e">
        <f t="shared" si="6"/>
        <v>#VALUE!</v>
      </c>
      <c r="AN14" s="121">
        <f t="shared" si="4"/>
      </c>
      <c r="AO14" s="121">
        <f t="shared" si="4"/>
      </c>
      <c r="AP14" s="121">
        <f t="shared" si="4"/>
      </c>
      <c r="AQ14" s="121">
        <f t="shared" si="4"/>
      </c>
    </row>
    <row r="15" spans="1:43" s="26" customFormat="1" ht="13.5" customHeight="1">
      <c r="A15" s="24"/>
      <c r="B15" s="26" t="s">
        <v>83</v>
      </c>
      <c r="E15" s="27"/>
      <c r="F15" s="28"/>
      <c r="G15" s="29">
        <f t="shared" si="0"/>
      </c>
      <c r="H15" s="29"/>
      <c r="I15" s="29"/>
      <c r="J15" s="29"/>
      <c r="K15" s="29"/>
      <c r="L15" s="76" t="s">
        <v>186</v>
      </c>
      <c r="M15" s="75"/>
      <c r="N15" s="30"/>
      <c r="O15" s="30">
        <f t="shared" si="1"/>
        <v>0</v>
      </c>
      <c r="P15" s="26">
        <f t="shared" si="2"/>
        <v>0</v>
      </c>
      <c r="S15" s="26" t="s">
        <v>7</v>
      </c>
      <c r="T15" s="24"/>
      <c r="V15" s="27"/>
      <c r="W15" s="28"/>
      <c r="X15" s="29">
        <f t="shared" si="3"/>
      </c>
      <c r="Y15" s="29"/>
      <c r="Z15" s="29"/>
      <c r="AA15" s="29"/>
      <c r="AB15" s="29"/>
      <c r="AC15" s="29"/>
      <c r="AD15" s="29"/>
      <c r="AE15" s="45"/>
      <c r="AF15" s="45"/>
      <c r="AH15" s="120">
        <v>0</v>
      </c>
      <c r="AI15" s="120">
        <v>0</v>
      </c>
      <c r="AJ15" s="121" t="e">
        <f>LOG(4*G15+1)*AH15</f>
        <v>#VALUE!</v>
      </c>
      <c r="AK15" s="121" t="e">
        <f t="shared" si="5"/>
        <v>#VALUE!</v>
      </c>
      <c r="AL15" s="121" t="e">
        <f>LOG(4*G15+1)</f>
        <v>#VALUE!</v>
      </c>
      <c r="AM15" s="121" t="e">
        <f t="shared" si="6"/>
        <v>#VALUE!</v>
      </c>
      <c r="AN15" s="121">
        <f t="shared" si="4"/>
      </c>
      <c r="AO15" s="121">
        <f t="shared" si="4"/>
      </c>
      <c r="AP15" s="121">
        <f t="shared" si="4"/>
      </c>
      <c r="AQ15" s="121">
        <f t="shared" si="4"/>
      </c>
    </row>
    <row r="16" spans="2:43" s="26" customFormat="1" ht="13.5" customHeight="1">
      <c r="B16" s="26" t="s">
        <v>84</v>
      </c>
      <c r="E16" s="27"/>
      <c r="F16" s="28"/>
      <c r="G16" s="29">
        <f t="shared" si="0"/>
      </c>
      <c r="H16" s="29"/>
      <c r="I16" s="29"/>
      <c r="J16" s="29"/>
      <c r="K16" s="29"/>
      <c r="L16" s="29"/>
      <c r="M16" s="29"/>
      <c r="N16" s="30"/>
      <c r="O16" s="30">
        <f t="shared" si="1"/>
        <v>0</v>
      </c>
      <c r="P16" s="26">
        <f t="shared" si="2"/>
        <v>0</v>
      </c>
      <c r="S16" s="26" t="s">
        <v>8</v>
      </c>
      <c r="V16" s="27"/>
      <c r="W16" s="28"/>
      <c r="X16" s="29">
        <f t="shared" si="3"/>
      </c>
      <c r="Y16" s="29"/>
      <c r="Z16" s="29"/>
      <c r="AA16" s="29"/>
      <c r="AB16" s="29"/>
      <c r="AC16" s="29"/>
      <c r="AD16" s="29"/>
      <c r="AE16" s="45"/>
      <c r="AF16" s="45"/>
      <c r="AH16" s="120">
        <v>0</v>
      </c>
      <c r="AI16" s="120">
        <v>0</v>
      </c>
      <c r="AJ16" s="121" t="e">
        <f>LOG(4*G16+1)*AH16</f>
        <v>#VALUE!</v>
      </c>
      <c r="AK16" s="121" t="e">
        <f t="shared" si="5"/>
        <v>#VALUE!</v>
      </c>
      <c r="AL16" s="121" t="e">
        <f>LOG(4*G16+1)</f>
        <v>#VALUE!</v>
      </c>
      <c r="AM16" s="121" t="e">
        <f t="shared" si="6"/>
        <v>#VALUE!</v>
      </c>
      <c r="AN16" s="121">
        <f t="shared" si="4"/>
      </c>
      <c r="AO16" s="121">
        <f t="shared" si="4"/>
      </c>
      <c r="AP16" s="121">
        <f t="shared" si="4"/>
      </c>
      <c r="AQ16" s="121">
        <f t="shared" si="4"/>
      </c>
    </row>
    <row r="17" spans="1:43" s="26" customFormat="1" ht="13.5" customHeight="1">
      <c r="A17" s="24" t="s">
        <v>85</v>
      </c>
      <c r="E17" s="27"/>
      <c r="F17" s="28"/>
      <c r="G17" s="29">
        <f t="shared" si="0"/>
      </c>
      <c r="H17" s="29"/>
      <c r="I17" s="29"/>
      <c r="J17" s="29"/>
      <c r="K17" s="29"/>
      <c r="L17" s="29"/>
      <c r="M17" s="29"/>
      <c r="N17" s="30"/>
      <c r="O17" s="30">
        <f t="shared" si="1"/>
        <v>0</v>
      </c>
      <c r="P17" s="26">
        <f t="shared" si="2"/>
        <v>0</v>
      </c>
      <c r="S17" s="26" t="s">
        <v>10</v>
      </c>
      <c r="V17" s="27"/>
      <c r="W17" s="28"/>
      <c r="X17" s="29">
        <f t="shared" si="3"/>
      </c>
      <c r="Y17" s="29"/>
      <c r="Z17" s="29"/>
      <c r="AA17" s="29"/>
      <c r="AB17" s="29"/>
      <c r="AC17" s="29"/>
      <c r="AD17" s="29"/>
      <c r="AE17" s="45"/>
      <c r="AF17" s="45"/>
      <c r="AH17" s="120"/>
      <c r="AI17" s="120">
        <v>0</v>
      </c>
      <c r="AJ17" s="121"/>
      <c r="AK17" s="121" t="e">
        <f t="shared" si="5"/>
        <v>#VALUE!</v>
      </c>
      <c r="AL17" s="124"/>
      <c r="AM17" s="121" t="e">
        <f t="shared" si="6"/>
        <v>#VALUE!</v>
      </c>
      <c r="AN17" s="121">
        <f t="shared" si="4"/>
        <v>0</v>
      </c>
      <c r="AO17" s="121">
        <f t="shared" si="4"/>
      </c>
      <c r="AP17" s="121">
        <f t="shared" si="4"/>
        <v>0</v>
      </c>
      <c r="AQ17" s="121">
        <f t="shared" si="4"/>
      </c>
    </row>
    <row r="18" spans="3:43" s="26" customFormat="1" ht="13.5" customHeight="1">
      <c r="C18" s="34"/>
      <c r="D18" s="34"/>
      <c r="E18" s="36"/>
      <c r="F18" s="34"/>
      <c r="G18" s="34">
        <f t="shared" si="0"/>
      </c>
      <c r="H18" s="34"/>
      <c r="I18" s="34"/>
      <c r="J18" s="34"/>
      <c r="K18" s="34"/>
      <c r="L18" s="34"/>
      <c r="M18" s="34"/>
      <c r="N18" s="30"/>
      <c r="O18" s="30">
        <f t="shared" si="1"/>
        <v>0</v>
      </c>
      <c r="P18" s="26">
        <f t="shared" si="2"/>
        <v>0</v>
      </c>
      <c r="S18" s="26" t="s">
        <v>11</v>
      </c>
      <c r="V18" s="27"/>
      <c r="W18" s="28"/>
      <c r="X18" s="29">
        <f t="shared" si="3"/>
      </c>
      <c r="Y18" s="29"/>
      <c r="Z18" s="29"/>
      <c r="AA18" s="29"/>
      <c r="AB18" s="29"/>
      <c r="AC18" s="29"/>
      <c r="AD18" s="29"/>
      <c r="AE18" s="45"/>
      <c r="AF18" s="45"/>
      <c r="AH18" s="120"/>
      <c r="AI18" s="120">
        <v>0</v>
      </c>
      <c r="AJ18" s="121"/>
      <c r="AK18" s="121" t="e">
        <f t="shared" si="5"/>
        <v>#VALUE!</v>
      </c>
      <c r="AL18" s="124"/>
      <c r="AM18" s="121" t="e">
        <f t="shared" si="6"/>
        <v>#VALUE!</v>
      </c>
      <c r="AN18" s="121">
        <f t="shared" si="4"/>
        <v>0</v>
      </c>
      <c r="AO18" s="121">
        <f t="shared" si="4"/>
      </c>
      <c r="AP18" s="121">
        <f t="shared" si="4"/>
        <v>0</v>
      </c>
      <c r="AQ18" s="121">
        <f t="shared" si="4"/>
      </c>
    </row>
    <row r="19" spans="1:43" s="26" customFormat="1" ht="13.5" customHeight="1">
      <c r="A19" s="37" t="s">
        <v>86</v>
      </c>
      <c r="B19" s="38"/>
      <c r="F19" s="109"/>
      <c r="G19" s="109">
        <f t="shared" si="0"/>
      </c>
      <c r="H19" s="109"/>
      <c r="I19" s="109"/>
      <c r="J19" s="109"/>
      <c r="K19" s="109"/>
      <c r="L19" s="109"/>
      <c r="M19" s="109"/>
      <c r="N19" s="30"/>
      <c r="O19" s="30">
        <f t="shared" si="1"/>
        <v>0</v>
      </c>
      <c r="P19" s="26">
        <f t="shared" si="2"/>
        <v>0</v>
      </c>
      <c r="S19" s="26" t="s">
        <v>12</v>
      </c>
      <c r="V19" s="27"/>
      <c r="W19" s="28"/>
      <c r="X19" s="29">
        <f t="shared" si="3"/>
      </c>
      <c r="Y19" s="29"/>
      <c r="Z19" s="29"/>
      <c r="AA19" s="29"/>
      <c r="AB19" s="29"/>
      <c r="AC19" s="29"/>
      <c r="AD19" s="29"/>
      <c r="AE19" s="45"/>
      <c r="AF19" s="45"/>
      <c r="AH19" s="120"/>
      <c r="AI19" s="120">
        <v>0</v>
      </c>
      <c r="AJ19" s="121"/>
      <c r="AK19" s="121" t="e">
        <f t="shared" si="5"/>
        <v>#VALUE!</v>
      </c>
      <c r="AL19" s="124"/>
      <c r="AM19" s="121" t="e">
        <f t="shared" si="6"/>
        <v>#VALUE!</v>
      </c>
      <c r="AN19" s="121">
        <f t="shared" si="4"/>
        <v>0</v>
      </c>
      <c r="AO19" s="121">
        <f t="shared" si="4"/>
      </c>
      <c r="AP19" s="121">
        <f t="shared" si="4"/>
        <v>0</v>
      </c>
      <c r="AQ19" s="121">
        <f t="shared" si="4"/>
      </c>
    </row>
    <row r="20" spans="1:43" s="26" customFormat="1" ht="13.5" customHeight="1">
      <c r="A20" s="24" t="s">
        <v>87</v>
      </c>
      <c r="D20" s="26">
        <f>IF(AE20&gt;2,1,"")</f>
      </c>
      <c r="E20" s="39"/>
      <c r="N20" s="30"/>
      <c r="O20" s="30">
        <f>D20</f>
      </c>
      <c r="P20" s="26">
        <f t="shared" si="2"/>
        <v>0</v>
      </c>
      <c r="R20" s="34"/>
      <c r="S20" s="34" t="s">
        <v>13</v>
      </c>
      <c r="T20" s="34"/>
      <c r="U20" s="34"/>
      <c r="V20" s="27"/>
      <c r="W20" s="40"/>
      <c r="X20" s="41">
        <f t="shared" si="3"/>
      </c>
      <c r="Y20" s="41"/>
      <c r="Z20" s="41"/>
      <c r="AA20" s="41"/>
      <c r="AB20" s="41"/>
      <c r="AC20" s="41"/>
      <c r="AD20" s="41"/>
      <c r="AE20" s="45">
        <f>SUM(G21:G24)</f>
        <v>0</v>
      </c>
      <c r="AF20" s="45"/>
      <c r="AH20" s="120"/>
      <c r="AI20" s="120"/>
      <c r="AJ20" s="121"/>
      <c r="AK20" s="124"/>
      <c r="AL20" s="124"/>
      <c r="AM20" s="121"/>
      <c r="AN20" s="121">
        <f t="shared" si="4"/>
        <v>0</v>
      </c>
      <c r="AO20" s="121">
        <f t="shared" si="4"/>
        <v>0</v>
      </c>
      <c r="AP20" s="121">
        <f t="shared" si="4"/>
        <v>0</v>
      </c>
      <c r="AQ20" s="121">
        <f t="shared" si="4"/>
        <v>0</v>
      </c>
    </row>
    <row r="21" spans="1:43" s="26" customFormat="1" ht="13.5" customHeight="1">
      <c r="A21" s="24"/>
      <c r="B21" s="26" t="s">
        <v>88</v>
      </c>
      <c r="E21" s="27"/>
      <c r="F21" s="28"/>
      <c r="G21" s="29">
        <f t="shared" si="0"/>
      </c>
      <c r="H21" s="29"/>
      <c r="I21" s="29"/>
      <c r="J21" s="29"/>
      <c r="K21" s="29"/>
      <c r="L21" s="29"/>
      <c r="M21" s="29"/>
      <c r="N21" s="30"/>
      <c r="O21" s="30">
        <f t="shared" si="1"/>
        <v>0</v>
      </c>
      <c r="P21" s="26">
        <f t="shared" si="2"/>
        <v>0</v>
      </c>
      <c r="R21" s="24" t="s">
        <v>14</v>
      </c>
      <c r="W21" s="109"/>
      <c r="X21" s="109">
        <f t="shared" si="3"/>
      </c>
      <c r="Y21" s="109"/>
      <c r="Z21" s="109"/>
      <c r="AA21" s="109"/>
      <c r="AB21" s="109"/>
      <c r="AC21" s="109"/>
      <c r="AD21" s="109"/>
      <c r="AE21" s="45"/>
      <c r="AF21" s="45"/>
      <c r="AH21" s="120">
        <v>0</v>
      </c>
      <c r="AI21" s="120"/>
      <c r="AJ21" s="121" t="e">
        <f>LOG(4*G21+1)*AH21</f>
        <v>#VALUE!</v>
      </c>
      <c r="AK21" s="124"/>
      <c r="AL21" s="121" t="e">
        <f>LOG(4*G21+1)</f>
        <v>#VALUE!</v>
      </c>
      <c r="AM21" s="121"/>
      <c r="AN21" s="121">
        <f t="shared" si="4"/>
      </c>
      <c r="AO21" s="121">
        <f t="shared" si="4"/>
        <v>0</v>
      </c>
      <c r="AP21" s="121">
        <f t="shared" si="4"/>
      </c>
      <c r="AQ21" s="121">
        <f t="shared" si="4"/>
        <v>0</v>
      </c>
    </row>
    <row r="22" spans="2:43" s="26" customFormat="1" ht="13.5" customHeight="1">
      <c r="B22" s="26" t="s">
        <v>89</v>
      </c>
      <c r="E22" s="27"/>
      <c r="F22" s="28"/>
      <c r="G22" s="29">
        <f t="shared" si="0"/>
      </c>
      <c r="H22" s="29"/>
      <c r="I22" s="29"/>
      <c r="J22" s="29"/>
      <c r="K22" s="29"/>
      <c r="L22" s="29"/>
      <c r="M22" s="29"/>
      <c r="N22" s="30"/>
      <c r="O22" s="30">
        <f t="shared" si="1"/>
        <v>0</v>
      </c>
      <c r="P22" s="26">
        <f t="shared" si="2"/>
        <v>0</v>
      </c>
      <c r="R22" s="24"/>
      <c r="S22" s="26" t="s">
        <v>15</v>
      </c>
      <c r="V22" s="27"/>
      <c r="W22" s="28"/>
      <c r="X22" s="29">
        <f t="shared" si="3"/>
      </c>
      <c r="Y22" s="29"/>
      <c r="Z22" s="29"/>
      <c r="AA22" s="29"/>
      <c r="AB22" s="29"/>
      <c r="AC22" s="29"/>
      <c r="AD22" s="29"/>
      <c r="AE22" s="45"/>
      <c r="AF22" s="45"/>
      <c r="AH22" s="120">
        <v>0</v>
      </c>
      <c r="AI22" s="120">
        <v>1</v>
      </c>
      <c r="AJ22" s="121" t="e">
        <f>LOG(4*G22+1)*AH22</f>
        <v>#VALUE!</v>
      </c>
      <c r="AK22" s="121" t="e">
        <f>LOG(4*X22+1)*AI22</f>
        <v>#VALUE!</v>
      </c>
      <c r="AL22" s="121" t="e">
        <f>LOG(4*G22+1)</f>
        <v>#VALUE!</v>
      </c>
      <c r="AM22" s="121" t="e">
        <f>LOG(4*X22+1)</f>
        <v>#VALUE!</v>
      </c>
      <c r="AN22" s="121">
        <f t="shared" si="4"/>
      </c>
      <c r="AO22" s="121">
        <f t="shared" si="4"/>
      </c>
      <c r="AP22" s="121">
        <f t="shared" si="4"/>
      </c>
      <c r="AQ22" s="121">
        <f t="shared" si="4"/>
      </c>
    </row>
    <row r="23" spans="2:43" s="26" customFormat="1" ht="13.5" customHeight="1">
      <c r="B23" s="26" t="s">
        <v>90</v>
      </c>
      <c r="E23" s="27"/>
      <c r="F23" s="28"/>
      <c r="G23" s="29">
        <f t="shared" si="0"/>
      </c>
      <c r="H23" s="29"/>
      <c r="I23" s="29"/>
      <c r="J23" s="29"/>
      <c r="K23" s="29"/>
      <c r="L23" s="29"/>
      <c r="M23" s="29"/>
      <c r="N23" s="30"/>
      <c r="O23" s="30">
        <f t="shared" si="1"/>
        <v>0</v>
      </c>
      <c r="P23" s="26">
        <f t="shared" si="2"/>
        <v>0</v>
      </c>
      <c r="R23" s="24" t="s">
        <v>92</v>
      </c>
      <c r="X23" s="26">
        <f t="shared" si="3"/>
      </c>
      <c r="AE23" s="45"/>
      <c r="AF23" s="45"/>
      <c r="AH23" s="120">
        <v>0</v>
      </c>
      <c r="AI23" s="120"/>
      <c r="AJ23" s="121" t="e">
        <f>LOG(4*G23+1)*AH23</f>
        <v>#VALUE!</v>
      </c>
      <c r="AK23" s="124"/>
      <c r="AL23" s="121" t="e">
        <f>LOG(4*G23+1)</f>
        <v>#VALUE!</v>
      </c>
      <c r="AM23" s="121"/>
      <c r="AN23" s="121">
        <f t="shared" si="4"/>
      </c>
      <c r="AO23" s="121">
        <f t="shared" si="4"/>
        <v>0</v>
      </c>
      <c r="AP23" s="121">
        <f t="shared" si="4"/>
      </c>
      <c r="AQ23" s="121">
        <f t="shared" si="4"/>
        <v>0</v>
      </c>
    </row>
    <row r="24" spans="1:43" s="26" customFormat="1" ht="13.5" customHeight="1">
      <c r="A24" s="24"/>
      <c r="B24" s="26" t="s">
        <v>91</v>
      </c>
      <c r="E24" s="27"/>
      <c r="F24" s="28"/>
      <c r="G24" s="29">
        <f>IF(E24&lt;&gt;0,E24,"")</f>
      </c>
      <c r="H24" s="29"/>
      <c r="I24" s="29"/>
      <c r="J24" s="29"/>
      <c r="K24" s="29"/>
      <c r="L24" s="29"/>
      <c r="M24" s="29"/>
      <c r="N24" s="30"/>
      <c r="O24" s="30">
        <f t="shared" si="1"/>
        <v>0</v>
      </c>
      <c r="P24" s="26">
        <f t="shared" si="2"/>
        <v>0</v>
      </c>
      <c r="S24" s="26" t="s">
        <v>16</v>
      </c>
      <c r="V24" s="27"/>
      <c r="W24" s="28"/>
      <c r="X24" s="29">
        <f t="shared" si="3"/>
      </c>
      <c r="Y24" s="29"/>
      <c r="Z24" s="29"/>
      <c r="AA24" s="29"/>
      <c r="AB24" s="29"/>
      <c r="AC24" s="29"/>
      <c r="AD24" s="29"/>
      <c r="AE24" s="45"/>
      <c r="AF24" s="45"/>
      <c r="AH24" s="120">
        <v>0</v>
      </c>
      <c r="AI24" s="120"/>
      <c r="AJ24" s="121" t="e">
        <f>LOG(4*G24+1)*AH24</f>
        <v>#VALUE!</v>
      </c>
      <c r="AK24" s="124"/>
      <c r="AL24" s="121" t="e">
        <f>LOG(4*G24+1)</f>
        <v>#VALUE!</v>
      </c>
      <c r="AM24" s="121"/>
      <c r="AN24" s="121">
        <f t="shared" si="4"/>
      </c>
      <c r="AO24" s="121">
        <f t="shared" si="4"/>
        <v>0</v>
      </c>
      <c r="AP24" s="121">
        <f t="shared" si="4"/>
      </c>
      <c r="AQ24" s="121">
        <f t="shared" si="4"/>
        <v>0</v>
      </c>
    </row>
    <row r="25" spans="1:43" s="26" customFormat="1" ht="13.5" customHeight="1">
      <c r="A25" s="24"/>
      <c r="N25" s="30"/>
      <c r="O25" s="30">
        <f t="shared" si="1"/>
        <v>0</v>
      </c>
      <c r="P25" s="26">
        <f t="shared" si="2"/>
        <v>0</v>
      </c>
      <c r="R25" s="33"/>
      <c r="S25" s="34" t="s">
        <v>17</v>
      </c>
      <c r="T25" s="34"/>
      <c r="U25" s="34"/>
      <c r="V25" s="27"/>
      <c r="W25" s="40"/>
      <c r="X25" s="41">
        <f t="shared" si="3"/>
      </c>
      <c r="Y25" s="41"/>
      <c r="Z25" s="41"/>
      <c r="AA25" s="41"/>
      <c r="AB25" s="41"/>
      <c r="AC25" s="41"/>
      <c r="AD25" s="41"/>
      <c r="AE25" s="45"/>
      <c r="AF25" s="45"/>
      <c r="AH25" s="120"/>
      <c r="AI25" s="120"/>
      <c r="AJ25" s="121"/>
      <c r="AK25" s="124"/>
      <c r="AL25" s="124"/>
      <c r="AM25" s="121"/>
      <c r="AN25" s="121">
        <f t="shared" si="4"/>
        <v>0</v>
      </c>
      <c r="AO25" s="121">
        <f t="shared" si="4"/>
        <v>0</v>
      </c>
      <c r="AP25" s="121">
        <f t="shared" si="4"/>
        <v>0</v>
      </c>
      <c r="AQ25" s="121">
        <f t="shared" si="4"/>
        <v>0</v>
      </c>
    </row>
    <row r="26" spans="1:43" s="26" customFormat="1" ht="13.5" customHeight="1">
      <c r="A26" s="24" t="s">
        <v>93</v>
      </c>
      <c r="D26" s="26">
        <f>IF(E26&gt;9,1,"")</f>
      </c>
      <c r="E26" s="27"/>
      <c r="F26" s="28"/>
      <c r="G26" s="29">
        <f t="shared" si="0"/>
      </c>
      <c r="H26" s="29"/>
      <c r="I26" s="29"/>
      <c r="J26" s="29"/>
      <c r="K26" s="29"/>
      <c r="L26" s="29"/>
      <c r="M26" s="29"/>
      <c r="N26" s="30"/>
      <c r="O26" s="30">
        <f t="shared" si="1"/>
      </c>
      <c r="P26" s="26">
        <f t="shared" si="2"/>
        <v>0</v>
      </c>
      <c r="R26" s="24" t="s">
        <v>19</v>
      </c>
      <c r="W26" s="109"/>
      <c r="X26" s="109">
        <f t="shared" si="3"/>
      </c>
      <c r="Y26" s="109"/>
      <c r="Z26" s="109"/>
      <c r="AA26" s="109"/>
      <c r="AB26" s="109"/>
      <c r="AC26" s="109"/>
      <c r="AD26" s="109"/>
      <c r="AE26" s="45"/>
      <c r="AF26" s="45"/>
      <c r="AH26" s="120">
        <v>0</v>
      </c>
      <c r="AI26" s="120"/>
      <c r="AJ26" s="121" t="e">
        <f>LOG(4*G26+1)*AH26</f>
        <v>#VALUE!</v>
      </c>
      <c r="AK26" s="124"/>
      <c r="AL26" s="121" t="e">
        <f>LOG(4*G26+1)</f>
        <v>#VALUE!</v>
      </c>
      <c r="AM26" s="121"/>
      <c r="AN26" s="121">
        <f t="shared" si="4"/>
      </c>
      <c r="AO26" s="121">
        <f t="shared" si="4"/>
        <v>0</v>
      </c>
      <c r="AP26" s="121">
        <f t="shared" si="4"/>
      </c>
      <c r="AQ26" s="121">
        <f t="shared" si="4"/>
        <v>0</v>
      </c>
    </row>
    <row r="27" spans="1:43" s="26" customFormat="1" ht="13.5" customHeight="1">
      <c r="A27" s="33"/>
      <c r="B27" s="34"/>
      <c r="C27" s="34"/>
      <c r="D27" s="34"/>
      <c r="E27" s="92"/>
      <c r="F27" s="36"/>
      <c r="G27" s="36">
        <f t="shared" si="0"/>
      </c>
      <c r="H27" s="36"/>
      <c r="I27" s="36"/>
      <c r="J27" s="36"/>
      <c r="K27" s="36"/>
      <c r="L27" s="93" t="s">
        <v>178</v>
      </c>
      <c r="M27" s="75"/>
      <c r="N27" s="30"/>
      <c r="O27" s="30">
        <f t="shared" si="1"/>
        <v>0</v>
      </c>
      <c r="P27" s="26">
        <f t="shared" si="2"/>
        <v>0</v>
      </c>
      <c r="S27" s="26" t="s">
        <v>20</v>
      </c>
      <c r="V27" s="27"/>
      <c r="W27" s="28"/>
      <c r="X27" s="29">
        <f t="shared" si="3"/>
      </c>
      <c r="Y27" s="29"/>
      <c r="Z27" s="29"/>
      <c r="AA27" s="29"/>
      <c r="AB27" s="29"/>
      <c r="AC27" s="29"/>
      <c r="AD27" s="29"/>
      <c r="AE27" s="45"/>
      <c r="AF27" s="45"/>
      <c r="AH27" s="120"/>
      <c r="AI27" s="120">
        <v>0</v>
      </c>
      <c r="AJ27" s="121"/>
      <c r="AK27" s="121" t="e">
        <f aca="true" t="shared" si="7" ref="AK27:AK43">LOG(4*X27+1)*AI27</f>
        <v>#VALUE!</v>
      </c>
      <c r="AL27" s="124"/>
      <c r="AM27" s="121" t="e">
        <f aca="true" t="shared" si="8" ref="AM27:AM43">LOG(4*X27+1)</f>
        <v>#VALUE!</v>
      </c>
      <c r="AN27" s="121">
        <f t="shared" si="4"/>
        <v>0</v>
      </c>
      <c r="AO27" s="121">
        <f t="shared" si="4"/>
      </c>
      <c r="AP27" s="121">
        <f t="shared" si="4"/>
        <v>0</v>
      </c>
      <c r="AQ27" s="121">
        <f t="shared" si="4"/>
      </c>
    </row>
    <row r="28" spans="1:43" s="26" customFormat="1" ht="13.5" customHeight="1">
      <c r="A28" s="24" t="s">
        <v>94</v>
      </c>
      <c r="G28" s="26">
        <f t="shared" si="0"/>
      </c>
      <c r="N28" s="30"/>
      <c r="O28" s="30">
        <f t="shared" si="1"/>
        <v>0</v>
      </c>
      <c r="P28" s="26">
        <f t="shared" si="2"/>
        <v>0</v>
      </c>
      <c r="S28" s="26" t="s">
        <v>21</v>
      </c>
      <c r="V28" s="27"/>
      <c r="W28" s="28"/>
      <c r="X28" s="29">
        <f t="shared" si="3"/>
      </c>
      <c r="Y28" s="29"/>
      <c r="Z28" s="29"/>
      <c r="AA28" s="29"/>
      <c r="AB28" s="29"/>
      <c r="AC28" s="29"/>
      <c r="AD28" s="29"/>
      <c r="AE28" s="45"/>
      <c r="AF28" s="45"/>
      <c r="AH28" s="120"/>
      <c r="AI28" s="120">
        <v>0</v>
      </c>
      <c r="AJ28" s="121"/>
      <c r="AK28" s="121" t="e">
        <f t="shared" si="7"/>
        <v>#VALUE!</v>
      </c>
      <c r="AL28" s="124"/>
      <c r="AM28" s="121" t="e">
        <f t="shared" si="8"/>
        <v>#VALUE!</v>
      </c>
      <c r="AN28" s="121">
        <f t="shared" si="4"/>
        <v>0</v>
      </c>
      <c r="AO28" s="121">
        <f t="shared" si="4"/>
      </c>
      <c r="AP28" s="121">
        <f t="shared" si="4"/>
        <v>0</v>
      </c>
      <c r="AQ28" s="121">
        <f t="shared" si="4"/>
      </c>
    </row>
    <row r="29" spans="1:43" s="26" customFormat="1" ht="13.5" customHeight="1">
      <c r="A29" s="24" t="s">
        <v>95</v>
      </c>
      <c r="D29" s="26">
        <f>IF(AE29&gt;2,2,"")</f>
      </c>
      <c r="F29" s="109"/>
      <c r="G29" s="109">
        <f t="shared" si="0"/>
      </c>
      <c r="H29" s="109"/>
      <c r="I29" s="109"/>
      <c r="J29" s="109"/>
      <c r="K29" s="109"/>
      <c r="L29" s="109"/>
      <c r="M29" s="109"/>
      <c r="N29" s="30"/>
      <c r="O29" s="30">
        <f t="shared" si="1"/>
      </c>
      <c r="P29" s="26">
        <f t="shared" si="2"/>
        <v>0</v>
      </c>
      <c r="S29" s="26" t="s">
        <v>22</v>
      </c>
      <c r="V29" s="27"/>
      <c r="W29" s="28"/>
      <c r="X29" s="29">
        <f t="shared" si="3"/>
      </c>
      <c r="Y29" s="29"/>
      <c r="Z29" s="29"/>
      <c r="AA29" s="29"/>
      <c r="AB29" s="29"/>
      <c r="AC29" s="29"/>
      <c r="AD29" s="29"/>
      <c r="AE29" s="45">
        <f>SUM(G30:G45)</f>
        <v>0</v>
      </c>
      <c r="AF29" s="45"/>
      <c r="AH29" s="120"/>
      <c r="AI29" s="120">
        <v>0</v>
      </c>
      <c r="AJ29" s="121"/>
      <c r="AK29" s="121" t="e">
        <f t="shared" si="7"/>
        <v>#VALUE!</v>
      </c>
      <c r="AL29" s="124"/>
      <c r="AM29" s="121" t="e">
        <f t="shared" si="8"/>
        <v>#VALUE!</v>
      </c>
      <c r="AN29" s="121">
        <f t="shared" si="4"/>
        <v>0</v>
      </c>
      <c r="AO29" s="121">
        <f t="shared" si="4"/>
      </c>
      <c r="AP29" s="121">
        <f t="shared" si="4"/>
        <v>0</v>
      </c>
      <c r="AQ29" s="121">
        <f t="shared" si="4"/>
      </c>
    </row>
    <row r="30" spans="2:43" s="26" customFormat="1" ht="13.5" customHeight="1">
      <c r="B30" s="26" t="s">
        <v>96</v>
      </c>
      <c r="E30" s="27"/>
      <c r="F30" s="28"/>
      <c r="G30" s="29">
        <f t="shared" si="0"/>
      </c>
      <c r="H30" s="29"/>
      <c r="I30" s="29"/>
      <c r="J30" s="29"/>
      <c r="K30" s="29"/>
      <c r="L30" s="29"/>
      <c r="M30" s="29"/>
      <c r="N30" s="30"/>
      <c r="O30" s="30">
        <f t="shared" si="1"/>
        <v>0</v>
      </c>
      <c r="P30" s="26">
        <f t="shared" si="2"/>
        <v>0</v>
      </c>
      <c r="S30" s="26" t="s">
        <v>23</v>
      </c>
      <c r="V30" s="27"/>
      <c r="W30" s="28"/>
      <c r="X30" s="29">
        <f t="shared" si="3"/>
      </c>
      <c r="Y30" s="29"/>
      <c r="Z30" s="29"/>
      <c r="AA30" s="29"/>
      <c r="AB30" s="29"/>
      <c r="AC30" s="29"/>
      <c r="AD30" s="29"/>
      <c r="AE30" s="45"/>
      <c r="AF30" s="45"/>
      <c r="AH30" s="120">
        <v>0</v>
      </c>
      <c r="AI30" s="120">
        <v>0</v>
      </c>
      <c r="AJ30" s="121" t="e">
        <f>LOG(4*G30+1)*AH30</f>
        <v>#VALUE!</v>
      </c>
      <c r="AK30" s="121" t="e">
        <f t="shared" si="7"/>
        <v>#VALUE!</v>
      </c>
      <c r="AL30" s="121" t="e">
        <f>LOG(4*G30+1)</f>
        <v>#VALUE!</v>
      </c>
      <c r="AM30" s="121" t="e">
        <f t="shared" si="8"/>
        <v>#VALUE!</v>
      </c>
      <c r="AN30" s="121">
        <f t="shared" si="4"/>
      </c>
      <c r="AO30" s="121">
        <f t="shared" si="4"/>
      </c>
      <c r="AP30" s="121">
        <f t="shared" si="4"/>
      </c>
      <c r="AQ30" s="121">
        <f t="shared" si="4"/>
      </c>
    </row>
    <row r="31" spans="2:43" s="26" customFormat="1" ht="13.5" customHeight="1">
      <c r="B31" s="26" t="s">
        <v>154</v>
      </c>
      <c r="E31" s="27"/>
      <c r="F31" s="28"/>
      <c r="G31" s="29">
        <f t="shared" si="0"/>
      </c>
      <c r="H31" s="29"/>
      <c r="I31" s="29"/>
      <c r="J31" s="29"/>
      <c r="K31" s="29"/>
      <c r="L31" s="29"/>
      <c r="M31" s="29"/>
      <c r="N31" s="30"/>
      <c r="O31" s="30">
        <f t="shared" si="1"/>
        <v>0</v>
      </c>
      <c r="P31" s="26">
        <f t="shared" si="2"/>
      </c>
      <c r="S31" s="26" t="s">
        <v>25</v>
      </c>
      <c r="U31" s="26">
        <f>IF(V31&gt;9,2,"")</f>
      </c>
      <c r="V31" s="27"/>
      <c r="W31" s="28"/>
      <c r="X31" s="29">
        <f t="shared" si="3"/>
      </c>
      <c r="Y31" s="29"/>
      <c r="Z31" s="29"/>
      <c r="AA31" s="29"/>
      <c r="AB31" s="29"/>
      <c r="AC31" s="29"/>
      <c r="AD31" s="29"/>
      <c r="AE31" s="102" t="e">
        <f>IF(X98=1,1,)</f>
        <v>#NUM!</v>
      </c>
      <c r="AF31" s="102" t="e">
        <f>IF(P100=1,1,)</f>
        <v>#NUM!</v>
      </c>
      <c r="AG31" s="101" t="s">
        <v>192</v>
      </c>
      <c r="AH31" s="120">
        <v>0</v>
      </c>
      <c r="AI31" s="120">
        <v>0</v>
      </c>
      <c r="AJ31" s="121" t="e">
        <f>LOG(4*G31+1)*AH31</f>
        <v>#VALUE!</v>
      </c>
      <c r="AK31" s="121" t="e">
        <f t="shared" si="7"/>
        <v>#VALUE!</v>
      </c>
      <c r="AL31" s="121" t="e">
        <f>LOG(4*G31+1)</f>
        <v>#VALUE!</v>
      </c>
      <c r="AM31" s="121" t="e">
        <f t="shared" si="8"/>
        <v>#VALUE!</v>
      </c>
      <c r="AN31" s="121">
        <f t="shared" si="4"/>
      </c>
      <c r="AO31" s="121">
        <f t="shared" si="4"/>
      </c>
      <c r="AP31" s="121">
        <f t="shared" si="4"/>
      </c>
      <c r="AQ31" s="121">
        <f t="shared" si="4"/>
      </c>
    </row>
    <row r="32" spans="2:43" s="26" customFormat="1" ht="13.5" customHeight="1">
      <c r="B32" s="26" t="s">
        <v>97</v>
      </c>
      <c r="E32" s="27"/>
      <c r="F32" s="28"/>
      <c r="G32" s="29">
        <f t="shared" si="0"/>
      </c>
      <c r="H32" s="29"/>
      <c r="I32" s="29"/>
      <c r="J32" s="29"/>
      <c r="K32" s="29"/>
      <c r="L32" s="29"/>
      <c r="M32" s="29"/>
      <c r="N32" s="30"/>
      <c r="O32" s="30">
        <f t="shared" si="1"/>
        <v>0</v>
      </c>
      <c r="P32" s="26">
        <f t="shared" si="2"/>
        <v>0</v>
      </c>
      <c r="R32" s="24"/>
      <c r="S32" s="26" t="s">
        <v>29</v>
      </c>
      <c r="V32" s="27"/>
      <c r="W32" s="28"/>
      <c r="X32" s="29">
        <f t="shared" si="3"/>
      </c>
      <c r="Y32" s="29"/>
      <c r="Z32" s="29"/>
      <c r="AA32" s="29"/>
      <c r="AB32" s="29"/>
      <c r="AC32" s="29"/>
      <c r="AD32" s="29"/>
      <c r="AE32" s="45" t="e">
        <f>IF(X98=2,1,)</f>
        <v>#NUM!</v>
      </c>
      <c r="AF32" s="45" t="e">
        <f>IF(P100=2,1,)</f>
        <v>#NUM!</v>
      </c>
      <c r="AH32" s="120">
        <v>0</v>
      </c>
      <c r="AI32" s="120">
        <v>0</v>
      </c>
      <c r="AJ32" s="121" t="e">
        <f>LOG(4*G32+1)*AH32</f>
        <v>#VALUE!</v>
      </c>
      <c r="AK32" s="121" t="e">
        <f t="shared" si="7"/>
        <v>#VALUE!</v>
      </c>
      <c r="AL32" s="121" t="e">
        <f>LOG(4*G32+1)</f>
        <v>#VALUE!</v>
      </c>
      <c r="AM32" s="121" t="e">
        <f t="shared" si="8"/>
        <v>#VALUE!</v>
      </c>
      <c r="AN32" s="121">
        <f t="shared" si="4"/>
      </c>
      <c r="AO32" s="121">
        <f t="shared" si="4"/>
      </c>
      <c r="AP32" s="121">
        <f t="shared" si="4"/>
      </c>
      <c r="AQ32" s="121">
        <f t="shared" si="4"/>
      </c>
    </row>
    <row r="33" spans="2:43" s="26" customFormat="1" ht="13.5" customHeight="1">
      <c r="B33" s="26" t="s">
        <v>158</v>
      </c>
      <c r="E33" s="27"/>
      <c r="F33" s="28"/>
      <c r="G33" s="29">
        <f t="shared" si="0"/>
      </c>
      <c r="H33" s="29"/>
      <c r="I33" s="29"/>
      <c r="J33" s="29"/>
      <c r="K33" s="29"/>
      <c r="L33" s="29"/>
      <c r="M33" s="29"/>
      <c r="N33" s="30"/>
      <c r="O33" s="30">
        <f t="shared" si="1"/>
        <v>0</v>
      </c>
      <c r="P33" s="26">
        <f t="shared" si="2"/>
        <v>0</v>
      </c>
      <c r="R33" s="24"/>
      <c r="S33" s="26" t="s">
        <v>30</v>
      </c>
      <c r="V33" s="27"/>
      <c r="W33" s="28"/>
      <c r="X33" s="29">
        <f t="shared" si="3"/>
      </c>
      <c r="Y33" s="29"/>
      <c r="Z33" s="29"/>
      <c r="AA33" s="29"/>
      <c r="AB33" s="29"/>
      <c r="AC33" s="29"/>
      <c r="AD33" s="29"/>
      <c r="AE33" s="45" t="e">
        <f>IF(X98=3,1,)</f>
        <v>#NUM!</v>
      </c>
      <c r="AF33" s="45" t="e">
        <f>IF(P100=3,1,)</f>
        <v>#NUM!</v>
      </c>
      <c r="AH33" s="120"/>
      <c r="AI33" s="120">
        <v>0</v>
      </c>
      <c r="AJ33" s="121"/>
      <c r="AK33" s="121" t="e">
        <f t="shared" si="7"/>
        <v>#VALUE!</v>
      </c>
      <c r="AL33" s="124"/>
      <c r="AM33" s="121" t="e">
        <f t="shared" si="8"/>
        <v>#VALUE!</v>
      </c>
      <c r="AN33" s="121">
        <f t="shared" si="4"/>
        <v>0</v>
      </c>
      <c r="AO33" s="121">
        <f t="shared" si="4"/>
      </c>
      <c r="AP33" s="121">
        <f t="shared" si="4"/>
        <v>0</v>
      </c>
      <c r="AQ33" s="121">
        <f t="shared" si="4"/>
      </c>
    </row>
    <row r="34" spans="2:43" s="26" customFormat="1" ht="13.5" customHeight="1">
      <c r="B34" s="26" t="s">
        <v>98</v>
      </c>
      <c r="E34" s="27"/>
      <c r="F34" s="28"/>
      <c r="G34" s="29">
        <f t="shared" si="0"/>
      </c>
      <c r="H34" s="29"/>
      <c r="I34" s="29"/>
      <c r="J34" s="29"/>
      <c r="K34" s="29"/>
      <c r="L34" s="76" t="s">
        <v>175</v>
      </c>
      <c r="M34" s="75"/>
      <c r="N34" s="30"/>
      <c r="O34" s="30">
        <f t="shared" si="1"/>
        <v>0</v>
      </c>
      <c r="P34" s="26">
        <f t="shared" si="2"/>
        <v>0</v>
      </c>
      <c r="R34" s="24"/>
      <c r="S34" s="26" t="s">
        <v>287</v>
      </c>
      <c r="V34" s="27"/>
      <c r="W34" s="28"/>
      <c r="X34" s="29">
        <f t="shared" si="3"/>
      </c>
      <c r="Y34" s="29"/>
      <c r="Z34" s="29"/>
      <c r="AA34" s="29"/>
      <c r="AB34" s="29"/>
      <c r="AC34" s="29"/>
      <c r="AD34" s="29"/>
      <c r="AE34" s="45" t="e">
        <f>IF(X98=4,2,)</f>
        <v>#NUM!</v>
      </c>
      <c r="AF34" s="45" t="e">
        <f>IF(P100=4,2,)</f>
        <v>#NUM!</v>
      </c>
      <c r="AH34" s="120">
        <v>0</v>
      </c>
      <c r="AI34" s="120">
        <v>0</v>
      </c>
      <c r="AJ34" s="121" t="e">
        <f aca="true" t="shared" si="9" ref="AJ34:AJ40">LOG(4*G34+1)*AH34</f>
        <v>#VALUE!</v>
      </c>
      <c r="AK34" s="121" t="e">
        <f t="shared" si="7"/>
        <v>#VALUE!</v>
      </c>
      <c r="AL34" s="121" t="e">
        <f aca="true" t="shared" si="10" ref="AL34:AL40">LOG(4*G34+1)</f>
        <v>#VALUE!</v>
      </c>
      <c r="AM34" s="121" t="e">
        <f t="shared" si="8"/>
        <v>#VALUE!</v>
      </c>
      <c r="AN34" s="121">
        <f t="shared" si="4"/>
      </c>
      <c r="AO34" s="121">
        <f t="shared" si="4"/>
      </c>
      <c r="AP34" s="121">
        <f t="shared" si="4"/>
      </c>
      <c r="AQ34" s="121">
        <f t="shared" si="4"/>
      </c>
    </row>
    <row r="35" spans="2:43" s="26" customFormat="1" ht="13.5" customHeight="1">
      <c r="B35" s="26" t="s">
        <v>99</v>
      </c>
      <c r="E35" s="27"/>
      <c r="F35" s="28"/>
      <c r="G35" s="29">
        <f t="shared" si="0"/>
      </c>
      <c r="H35" s="29"/>
      <c r="I35" s="29"/>
      <c r="J35" s="29"/>
      <c r="K35" s="29"/>
      <c r="L35" s="29"/>
      <c r="M35" s="29"/>
      <c r="N35" s="30"/>
      <c r="O35" s="30">
        <f t="shared" si="1"/>
        <v>0</v>
      </c>
      <c r="P35" s="26">
        <f t="shared" si="2"/>
        <v>0</v>
      </c>
      <c r="R35" s="24"/>
      <c r="S35" s="26" t="s">
        <v>31</v>
      </c>
      <c r="V35" s="27"/>
      <c r="W35" s="28"/>
      <c r="X35" s="29">
        <f t="shared" si="3"/>
      </c>
      <c r="Y35" s="29"/>
      <c r="Z35" s="29"/>
      <c r="AA35" s="29"/>
      <c r="AB35" s="29"/>
      <c r="AC35" s="29"/>
      <c r="AD35" s="29"/>
      <c r="AE35" s="45" t="e">
        <f>IF(X98=5,2,)</f>
        <v>#NUM!</v>
      </c>
      <c r="AF35" s="45" t="e">
        <f>IF(P100=5,2,)</f>
        <v>#NUM!</v>
      </c>
      <c r="AH35" s="120">
        <v>0</v>
      </c>
      <c r="AI35" s="120">
        <v>0</v>
      </c>
      <c r="AJ35" s="121" t="e">
        <f t="shared" si="9"/>
        <v>#VALUE!</v>
      </c>
      <c r="AK35" s="121" t="e">
        <f t="shared" si="7"/>
        <v>#VALUE!</v>
      </c>
      <c r="AL35" s="121" t="e">
        <f t="shared" si="10"/>
        <v>#VALUE!</v>
      </c>
      <c r="AM35" s="121" t="e">
        <f t="shared" si="8"/>
        <v>#VALUE!</v>
      </c>
      <c r="AN35" s="121">
        <f t="shared" si="4"/>
      </c>
      <c r="AO35" s="121">
        <f t="shared" si="4"/>
      </c>
      <c r="AP35" s="121">
        <f t="shared" si="4"/>
      </c>
      <c r="AQ35" s="121">
        <f t="shared" si="4"/>
      </c>
    </row>
    <row r="36" spans="2:43" s="26" customFormat="1" ht="13.5" customHeight="1">
      <c r="B36" s="26" t="s">
        <v>100</v>
      </c>
      <c r="E36" s="27"/>
      <c r="F36" s="28"/>
      <c r="G36" s="29">
        <f t="shared" si="0"/>
      </c>
      <c r="H36" s="29"/>
      <c r="I36" s="29"/>
      <c r="J36" s="29"/>
      <c r="K36" s="29"/>
      <c r="L36" s="29"/>
      <c r="M36" s="29"/>
      <c r="N36" s="30"/>
      <c r="O36" s="30">
        <f t="shared" si="1"/>
        <v>0</v>
      </c>
      <c r="P36" s="26">
        <f t="shared" si="2"/>
        <v>0</v>
      </c>
      <c r="R36" s="24"/>
      <c r="S36" s="26" t="s">
        <v>288</v>
      </c>
      <c r="V36" s="27"/>
      <c r="W36" s="28"/>
      <c r="X36" s="29">
        <f t="shared" si="3"/>
      </c>
      <c r="Y36" s="29"/>
      <c r="Z36" s="29"/>
      <c r="AA36" s="29"/>
      <c r="AB36" s="29"/>
      <c r="AC36" s="29"/>
      <c r="AD36" s="29"/>
      <c r="AE36" s="45" t="e">
        <f>IF(X98=6,2,)</f>
        <v>#NUM!</v>
      </c>
      <c r="AF36" s="45" t="e">
        <f>IF(P100=6,2,)</f>
        <v>#NUM!</v>
      </c>
      <c r="AH36" s="120">
        <v>0</v>
      </c>
      <c r="AI36" s="120">
        <v>0</v>
      </c>
      <c r="AJ36" s="121" t="e">
        <f t="shared" si="9"/>
        <v>#VALUE!</v>
      </c>
      <c r="AK36" s="121" t="e">
        <f t="shared" si="7"/>
        <v>#VALUE!</v>
      </c>
      <c r="AL36" s="121" t="e">
        <f t="shared" si="10"/>
        <v>#VALUE!</v>
      </c>
      <c r="AM36" s="121" t="e">
        <f t="shared" si="8"/>
        <v>#VALUE!</v>
      </c>
      <c r="AN36" s="121">
        <f t="shared" si="4"/>
      </c>
      <c r="AO36" s="121">
        <f t="shared" si="4"/>
      </c>
      <c r="AP36" s="121">
        <f t="shared" si="4"/>
      </c>
      <c r="AQ36" s="121">
        <f t="shared" si="4"/>
      </c>
    </row>
    <row r="37" spans="2:43" s="26" customFormat="1" ht="13.5" customHeight="1">
      <c r="B37" s="26" t="s">
        <v>101</v>
      </c>
      <c r="E37" s="27"/>
      <c r="F37" s="28"/>
      <c r="G37" s="29">
        <f t="shared" si="0"/>
      </c>
      <c r="H37" s="29"/>
      <c r="I37" s="29"/>
      <c r="J37" s="29"/>
      <c r="K37" s="29"/>
      <c r="L37" s="76" t="s">
        <v>176</v>
      </c>
      <c r="M37" s="75"/>
      <c r="N37" s="30"/>
      <c r="O37" s="30">
        <f t="shared" si="1"/>
        <v>0</v>
      </c>
      <c r="P37" s="26">
        <f t="shared" si="2"/>
        <v>0</v>
      </c>
      <c r="S37" s="26" t="s">
        <v>32</v>
      </c>
      <c r="V37" s="27"/>
      <c r="W37" s="28"/>
      <c r="X37" s="29">
        <f t="shared" si="3"/>
      </c>
      <c r="Y37" s="29"/>
      <c r="Z37" s="29"/>
      <c r="AA37" s="29"/>
      <c r="AB37" s="29"/>
      <c r="AC37" s="29"/>
      <c r="AD37" s="29"/>
      <c r="AE37" s="45" t="e">
        <f>IF(X98=7,3,)</f>
        <v>#NUM!</v>
      </c>
      <c r="AF37" s="45" t="e">
        <f>IF(P100=7,3,)</f>
        <v>#NUM!</v>
      </c>
      <c r="AH37" s="120">
        <v>0</v>
      </c>
      <c r="AI37" s="120">
        <v>0</v>
      </c>
      <c r="AJ37" s="121" t="e">
        <f t="shared" si="9"/>
        <v>#VALUE!</v>
      </c>
      <c r="AK37" s="121" t="e">
        <f t="shared" si="7"/>
        <v>#VALUE!</v>
      </c>
      <c r="AL37" s="121" t="e">
        <f t="shared" si="10"/>
        <v>#VALUE!</v>
      </c>
      <c r="AM37" s="121" t="e">
        <f t="shared" si="8"/>
        <v>#VALUE!</v>
      </c>
      <c r="AN37" s="121">
        <f t="shared" si="4"/>
      </c>
      <c r="AO37" s="121">
        <f t="shared" si="4"/>
      </c>
      <c r="AP37" s="121">
        <f t="shared" si="4"/>
      </c>
      <c r="AQ37" s="121">
        <f t="shared" si="4"/>
      </c>
    </row>
    <row r="38" spans="2:43" s="26" customFormat="1" ht="13.5" customHeight="1">
      <c r="B38" s="26" t="s">
        <v>102</v>
      </c>
      <c r="E38" s="27"/>
      <c r="F38" s="28"/>
      <c r="G38" s="29">
        <f t="shared" si="0"/>
      </c>
      <c r="H38" s="29"/>
      <c r="I38" s="29"/>
      <c r="J38" s="29"/>
      <c r="K38" s="29"/>
      <c r="L38" s="29"/>
      <c r="M38" s="29"/>
      <c r="N38" s="30"/>
      <c r="O38" s="30">
        <f t="shared" si="1"/>
        <v>0</v>
      </c>
      <c r="P38" s="26">
        <f t="shared" si="2"/>
        <v>0</v>
      </c>
      <c r="R38" s="24"/>
      <c r="S38" s="26" t="s">
        <v>34</v>
      </c>
      <c r="V38" s="27"/>
      <c r="W38" s="28"/>
      <c r="X38" s="29">
        <f t="shared" si="3"/>
      </c>
      <c r="Y38" s="29"/>
      <c r="Z38" s="29"/>
      <c r="AA38" s="29"/>
      <c r="AB38" s="29"/>
      <c r="AC38" s="29"/>
      <c r="AD38" s="29"/>
      <c r="AE38" s="45" t="e">
        <f>IF(X98=8,3,)</f>
        <v>#NUM!</v>
      </c>
      <c r="AF38" s="45" t="e">
        <f>IF(P100=8,3,)</f>
        <v>#NUM!</v>
      </c>
      <c r="AH38" s="120">
        <v>0</v>
      </c>
      <c r="AI38" s="120">
        <v>0</v>
      </c>
      <c r="AJ38" s="121" t="e">
        <f t="shared" si="9"/>
        <v>#VALUE!</v>
      </c>
      <c r="AK38" s="121" t="e">
        <f t="shared" si="7"/>
        <v>#VALUE!</v>
      </c>
      <c r="AL38" s="121" t="e">
        <f t="shared" si="10"/>
        <v>#VALUE!</v>
      </c>
      <c r="AM38" s="121" t="e">
        <f t="shared" si="8"/>
        <v>#VALUE!</v>
      </c>
      <c r="AN38" s="121">
        <f t="shared" si="4"/>
      </c>
      <c r="AO38" s="121">
        <f t="shared" si="4"/>
      </c>
      <c r="AP38" s="121">
        <f t="shared" si="4"/>
      </c>
      <c r="AQ38" s="121">
        <f t="shared" si="4"/>
      </c>
    </row>
    <row r="39" spans="2:43" s="26" customFormat="1" ht="13.5" customHeight="1">
      <c r="B39" s="26" t="s">
        <v>103</v>
      </c>
      <c r="E39" s="27"/>
      <c r="F39" s="28"/>
      <c r="G39" s="29">
        <f t="shared" si="0"/>
      </c>
      <c r="H39" s="29"/>
      <c r="I39" s="29"/>
      <c r="J39" s="29"/>
      <c r="K39" s="29"/>
      <c r="L39" s="29"/>
      <c r="M39" s="29"/>
      <c r="N39" s="30"/>
      <c r="O39" s="30">
        <f t="shared" si="1"/>
        <v>0</v>
      </c>
      <c r="P39" s="26">
        <f t="shared" si="2"/>
        <v>0</v>
      </c>
      <c r="S39" s="26" t="s">
        <v>35</v>
      </c>
      <c r="V39" s="27"/>
      <c r="W39" s="28"/>
      <c r="X39" s="29">
        <f t="shared" si="3"/>
      </c>
      <c r="Y39" s="29"/>
      <c r="Z39" s="29"/>
      <c r="AA39" s="29"/>
      <c r="AB39" s="29"/>
      <c r="AC39" s="29"/>
      <c r="AD39" s="29"/>
      <c r="AE39" s="45" t="e">
        <f>IF(X98=9,3,)</f>
        <v>#NUM!</v>
      </c>
      <c r="AF39" s="45" t="e">
        <f>IF(P100=9,3,)</f>
        <v>#NUM!</v>
      </c>
      <c r="AH39" s="120">
        <v>0</v>
      </c>
      <c r="AI39" s="120">
        <v>0</v>
      </c>
      <c r="AJ39" s="121" t="e">
        <f t="shared" si="9"/>
        <v>#VALUE!</v>
      </c>
      <c r="AK39" s="121" t="e">
        <f t="shared" si="7"/>
        <v>#VALUE!</v>
      </c>
      <c r="AL39" s="121" t="e">
        <f t="shared" si="10"/>
        <v>#VALUE!</v>
      </c>
      <c r="AM39" s="121" t="e">
        <f t="shared" si="8"/>
        <v>#VALUE!</v>
      </c>
      <c r="AN39" s="121">
        <f t="shared" si="4"/>
      </c>
      <c r="AO39" s="121">
        <f t="shared" si="4"/>
      </c>
      <c r="AP39" s="121">
        <f t="shared" si="4"/>
      </c>
      <c r="AQ39" s="121">
        <f t="shared" si="4"/>
      </c>
    </row>
    <row r="40" spans="2:43" s="26" customFormat="1" ht="13.5" customHeight="1">
      <c r="B40" s="26" t="s">
        <v>104</v>
      </c>
      <c r="E40" s="27"/>
      <c r="F40" s="28"/>
      <c r="G40" s="29">
        <f t="shared" si="0"/>
      </c>
      <c r="H40" s="29"/>
      <c r="I40" s="29"/>
      <c r="J40" s="29"/>
      <c r="K40" s="29"/>
      <c r="L40" s="29"/>
      <c r="M40" s="29"/>
      <c r="N40" s="30"/>
      <c r="O40" s="30">
        <f t="shared" si="1"/>
        <v>0</v>
      </c>
      <c r="P40" s="26">
        <f t="shared" si="2"/>
        <v>0</v>
      </c>
      <c r="R40" s="24"/>
      <c r="S40" s="26" t="s">
        <v>36</v>
      </c>
      <c r="V40" s="27"/>
      <c r="W40" s="28"/>
      <c r="X40" s="29">
        <f t="shared" si="3"/>
      </c>
      <c r="Y40" s="29"/>
      <c r="Z40" s="29"/>
      <c r="AA40" s="29"/>
      <c r="AB40" s="29"/>
      <c r="AC40" s="29"/>
      <c r="AD40" s="29"/>
      <c r="AE40" s="45" t="e">
        <f>IF(X98=10,4,)</f>
        <v>#NUM!</v>
      </c>
      <c r="AF40" s="45" t="e">
        <f>IF(P100=10,4,)</f>
        <v>#NUM!</v>
      </c>
      <c r="AH40" s="120">
        <v>0</v>
      </c>
      <c r="AI40" s="120">
        <v>0</v>
      </c>
      <c r="AJ40" s="121" t="e">
        <f t="shared" si="9"/>
        <v>#VALUE!</v>
      </c>
      <c r="AK40" s="121" t="e">
        <f t="shared" si="7"/>
        <v>#VALUE!</v>
      </c>
      <c r="AL40" s="121" t="e">
        <f t="shared" si="10"/>
        <v>#VALUE!</v>
      </c>
      <c r="AM40" s="121" t="e">
        <f t="shared" si="8"/>
        <v>#VALUE!</v>
      </c>
      <c r="AN40" s="121">
        <f t="shared" si="4"/>
      </c>
      <c r="AO40" s="121">
        <f t="shared" si="4"/>
      </c>
      <c r="AP40" s="121">
        <f t="shared" si="4"/>
      </c>
      <c r="AQ40" s="121">
        <f t="shared" si="4"/>
      </c>
    </row>
    <row r="41" spans="1:43" s="26" customFormat="1" ht="13.5" customHeight="1">
      <c r="A41" s="24" t="s">
        <v>105</v>
      </c>
      <c r="F41" s="110"/>
      <c r="G41" s="110">
        <f t="shared" si="0"/>
      </c>
      <c r="H41" s="110"/>
      <c r="I41" s="110"/>
      <c r="J41" s="110"/>
      <c r="K41" s="110"/>
      <c r="L41" s="110"/>
      <c r="M41" s="109"/>
      <c r="N41" s="30"/>
      <c r="O41" s="30">
        <f t="shared" si="1"/>
        <v>0</v>
      </c>
      <c r="P41" s="26">
        <f t="shared" si="2"/>
        <v>0</v>
      </c>
      <c r="S41" s="26" t="s">
        <v>152</v>
      </c>
      <c r="V41" s="27"/>
      <c r="W41" s="28"/>
      <c r="X41" s="29">
        <f t="shared" si="3"/>
      </c>
      <c r="Y41" s="29"/>
      <c r="Z41" s="29"/>
      <c r="AA41" s="29"/>
      <c r="AB41" s="29"/>
      <c r="AC41" s="29"/>
      <c r="AD41" s="29"/>
      <c r="AE41" s="45" t="e">
        <f>IF(X98=11,4,)</f>
        <v>#NUM!</v>
      </c>
      <c r="AF41" s="45" t="e">
        <f>IF(P100=11,4,)</f>
        <v>#NUM!</v>
      </c>
      <c r="AH41" s="120"/>
      <c r="AI41" s="120">
        <v>0</v>
      </c>
      <c r="AJ41" s="121"/>
      <c r="AK41" s="121" t="e">
        <f t="shared" si="7"/>
        <v>#VALUE!</v>
      </c>
      <c r="AL41" s="124"/>
      <c r="AM41" s="121" t="e">
        <f t="shared" si="8"/>
        <v>#VALUE!</v>
      </c>
      <c r="AN41" s="121">
        <f t="shared" si="4"/>
        <v>0</v>
      </c>
      <c r="AO41" s="121">
        <f t="shared" si="4"/>
      </c>
      <c r="AP41" s="121">
        <f t="shared" si="4"/>
        <v>0</v>
      </c>
      <c r="AQ41" s="121">
        <f t="shared" si="4"/>
      </c>
    </row>
    <row r="42" spans="2:43" s="26" customFormat="1" ht="13.5" customHeight="1">
      <c r="B42" s="26" t="s">
        <v>170</v>
      </c>
      <c r="E42" s="27"/>
      <c r="F42" s="28"/>
      <c r="G42" s="29">
        <f t="shared" si="0"/>
      </c>
      <c r="H42" s="29"/>
      <c r="I42" s="29"/>
      <c r="J42" s="29"/>
      <c r="K42" s="29"/>
      <c r="L42" s="29"/>
      <c r="M42" s="29"/>
      <c r="N42" s="30"/>
      <c r="O42" s="30">
        <f t="shared" si="1"/>
        <v>0</v>
      </c>
      <c r="P42" s="26">
        <f t="shared" si="2"/>
        <v>0</v>
      </c>
      <c r="S42" s="26" t="s">
        <v>289</v>
      </c>
      <c r="V42" s="27"/>
      <c r="W42" s="28"/>
      <c r="X42" s="29">
        <f t="shared" si="3"/>
      </c>
      <c r="Y42" s="29"/>
      <c r="Z42" s="29"/>
      <c r="AA42" s="29"/>
      <c r="AB42" s="29"/>
      <c r="AC42" s="29"/>
      <c r="AD42" s="29"/>
      <c r="AE42" s="45" t="e">
        <f>IF(X98=12,4,)</f>
        <v>#NUM!</v>
      </c>
      <c r="AF42" s="45" t="e">
        <f>IF(P100=12,4,)</f>
        <v>#NUM!</v>
      </c>
      <c r="AH42" s="120">
        <v>0</v>
      </c>
      <c r="AI42" s="120">
        <v>0</v>
      </c>
      <c r="AJ42" s="121" t="e">
        <f>LOG(4*G42+1)*AH42</f>
        <v>#VALUE!</v>
      </c>
      <c r="AK42" s="121" t="e">
        <f t="shared" si="7"/>
        <v>#VALUE!</v>
      </c>
      <c r="AL42" s="121" t="e">
        <f>LOG(4*G42+1)</f>
        <v>#VALUE!</v>
      </c>
      <c r="AM42" s="121" t="e">
        <f t="shared" si="8"/>
        <v>#VALUE!</v>
      </c>
      <c r="AN42" s="121">
        <f t="shared" si="4"/>
      </c>
      <c r="AO42" s="121">
        <f t="shared" si="4"/>
      </c>
      <c r="AP42" s="121">
        <f t="shared" si="4"/>
      </c>
      <c r="AQ42" s="121">
        <f t="shared" si="4"/>
      </c>
    </row>
    <row r="43" spans="2:43" s="26" customFormat="1" ht="13.5" customHeight="1">
      <c r="B43" s="26" t="s">
        <v>169</v>
      </c>
      <c r="E43" s="27"/>
      <c r="F43" s="28"/>
      <c r="G43" s="29">
        <f t="shared" si="0"/>
      </c>
      <c r="H43" s="29"/>
      <c r="I43" s="29"/>
      <c r="J43" s="29"/>
      <c r="K43" s="29"/>
      <c r="L43" s="29"/>
      <c r="M43" s="29"/>
      <c r="N43" s="30"/>
      <c r="O43" s="30">
        <f t="shared" si="1"/>
        <v>0</v>
      </c>
      <c r="P43" s="26">
        <f t="shared" si="2"/>
        <v>0</v>
      </c>
      <c r="R43" s="34"/>
      <c r="S43" s="34" t="s">
        <v>290</v>
      </c>
      <c r="T43" s="34"/>
      <c r="U43" s="34"/>
      <c r="V43" s="27"/>
      <c r="W43" s="40"/>
      <c r="X43" s="41">
        <f t="shared" si="3"/>
      </c>
      <c r="Y43" s="41"/>
      <c r="Z43" s="41"/>
      <c r="AA43" s="41"/>
      <c r="AB43" s="41"/>
      <c r="AC43" s="41"/>
      <c r="AD43" s="41"/>
      <c r="AE43" s="45" t="e">
        <f>IF(X98=13,5,)</f>
        <v>#NUM!</v>
      </c>
      <c r="AF43" s="45" t="e">
        <f>IF(P100=13,5,)</f>
        <v>#NUM!</v>
      </c>
      <c r="AH43" s="120">
        <v>0</v>
      </c>
      <c r="AI43" s="120">
        <v>0</v>
      </c>
      <c r="AJ43" s="121" t="e">
        <f>LOG(4*G43+1)*AH43</f>
        <v>#VALUE!</v>
      </c>
      <c r="AK43" s="121" t="e">
        <f t="shared" si="7"/>
        <v>#VALUE!</v>
      </c>
      <c r="AL43" s="121" t="e">
        <f>LOG(4*G43+1)</f>
        <v>#VALUE!</v>
      </c>
      <c r="AM43" s="121" t="e">
        <f t="shared" si="8"/>
        <v>#VALUE!</v>
      </c>
      <c r="AN43" s="121">
        <f t="shared" si="4"/>
      </c>
      <c r="AO43" s="121">
        <f t="shared" si="4"/>
      </c>
      <c r="AP43" s="121">
        <f t="shared" si="4"/>
      </c>
      <c r="AQ43" s="121">
        <f t="shared" si="4"/>
      </c>
    </row>
    <row r="44" spans="2:43" s="26" customFormat="1" ht="13.5" customHeight="1">
      <c r="B44" s="26" t="s">
        <v>106</v>
      </c>
      <c r="E44" s="27"/>
      <c r="F44" s="28"/>
      <c r="G44" s="29">
        <f t="shared" si="0"/>
      </c>
      <c r="H44" s="29"/>
      <c r="I44" s="29"/>
      <c r="J44" s="29"/>
      <c r="K44" s="29"/>
      <c r="L44" s="29"/>
      <c r="M44" s="29"/>
      <c r="N44" s="30"/>
      <c r="O44" s="30">
        <f t="shared" si="1"/>
        <v>0</v>
      </c>
      <c r="P44" s="26">
        <f t="shared" si="2"/>
        <v>0</v>
      </c>
      <c r="X44" s="26">
        <f t="shared" si="3"/>
      </c>
      <c r="AE44" s="45" t="e">
        <f>IF(X98=14,5,)</f>
        <v>#NUM!</v>
      </c>
      <c r="AF44" s="45" t="e">
        <f>IF(P100=14,5,)</f>
        <v>#NUM!</v>
      </c>
      <c r="AH44" s="120">
        <v>0</v>
      </c>
      <c r="AI44" s="120"/>
      <c r="AJ44" s="121" t="e">
        <f>LOG(4*G44+1)*AH44</f>
        <v>#VALUE!</v>
      </c>
      <c r="AK44" s="124"/>
      <c r="AL44" s="121" t="e">
        <f>LOG(4*G44+1)</f>
        <v>#VALUE!</v>
      </c>
      <c r="AM44" s="121"/>
      <c r="AN44" s="121">
        <f t="shared" si="4"/>
      </c>
      <c r="AO44" s="121">
        <f t="shared" si="4"/>
        <v>0</v>
      </c>
      <c r="AP44" s="121">
        <f t="shared" si="4"/>
      </c>
      <c r="AQ44" s="121">
        <f t="shared" si="4"/>
        <v>0</v>
      </c>
    </row>
    <row r="45" spans="1:43" s="26" customFormat="1" ht="13.5" customHeight="1">
      <c r="A45" s="34"/>
      <c r="B45" s="34" t="s">
        <v>107</v>
      </c>
      <c r="C45" s="34"/>
      <c r="D45" s="44"/>
      <c r="E45" s="42"/>
      <c r="F45" s="41"/>
      <c r="G45" s="41">
        <f t="shared" si="0"/>
      </c>
      <c r="H45" s="41"/>
      <c r="I45" s="41"/>
      <c r="J45" s="41"/>
      <c r="K45" s="41"/>
      <c r="L45" s="41"/>
      <c r="M45" s="41"/>
      <c r="N45" s="30"/>
      <c r="O45" s="30">
        <f t="shared" si="1"/>
        <v>0</v>
      </c>
      <c r="P45" s="26">
        <f t="shared" si="2"/>
        <v>0</v>
      </c>
      <c r="R45" s="33" t="s">
        <v>38</v>
      </c>
      <c r="S45" s="34"/>
      <c r="T45" s="34"/>
      <c r="U45" s="34"/>
      <c r="V45" s="27"/>
      <c r="W45" s="40"/>
      <c r="X45" s="41">
        <f t="shared" si="3"/>
      </c>
      <c r="Y45" s="41"/>
      <c r="Z45" s="41"/>
      <c r="AA45" s="41"/>
      <c r="AB45" s="41"/>
      <c r="AC45" s="41"/>
      <c r="AD45" s="41"/>
      <c r="AE45" s="45" t="e">
        <f>IF(X98=15,5,)</f>
        <v>#NUM!</v>
      </c>
      <c r="AF45" s="45" t="e">
        <f>IF(P100=15,5,)</f>
        <v>#NUM!</v>
      </c>
      <c r="AH45" s="120">
        <v>0</v>
      </c>
      <c r="AI45" s="120"/>
      <c r="AJ45" s="121" t="e">
        <f>LOG(4*G45+1)*AH45</f>
        <v>#VALUE!</v>
      </c>
      <c r="AK45" s="124"/>
      <c r="AL45" s="121" t="e">
        <f>LOG(4*G45+1)</f>
        <v>#VALUE!</v>
      </c>
      <c r="AM45" s="121"/>
      <c r="AN45" s="121">
        <f t="shared" si="4"/>
      </c>
      <c r="AO45" s="121">
        <f t="shared" si="4"/>
        <v>0</v>
      </c>
      <c r="AP45" s="121">
        <f t="shared" si="4"/>
      </c>
      <c r="AQ45" s="121">
        <f t="shared" si="4"/>
        <v>0</v>
      </c>
    </row>
    <row r="46" spans="6:43" s="26" customFormat="1" ht="13.5" customHeight="1">
      <c r="F46" s="109"/>
      <c r="G46" s="109">
        <f t="shared" si="0"/>
      </c>
      <c r="H46" s="109"/>
      <c r="I46" s="109"/>
      <c r="J46" s="109"/>
      <c r="K46" s="109"/>
      <c r="L46" s="109"/>
      <c r="M46" s="109"/>
      <c r="N46" s="30"/>
      <c r="O46" s="30">
        <f t="shared" si="1"/>
        <v>0</v>
      </c>
      <c r="P46" s="26">
        <f t="shared" si="2"/>
        <v>0</v>
      </c>
      <c r="R46" s="24" t="s">
        <v>39</v>
      </c>
      <c r="T46" s="39"/>
      <c r="W46" s="109"/>
      <c r="X46" s="109">
        <f t="shared" si="3"/>
      </c>
      <c r="Y46" s="109"/>
      <c r="Z46" s="109"/>
      <c r="AA46" s="109"/>
      <c r="AB46" s="109"/>
      <c r="AC46" s="109"/>
      <c r="AD46" s="109"/>
      <c r="AE46" s="45" t="e">
        <f>IF(X98=16,5,)</f>
        <v>#NUM!</v>
      </c>
      <c r="AF46" s="45" t="e">
        <f>IF(P100=16,5,)</f>
        <v>#NUM!</v>
      </c>
      <c r="AH46" s="120"/>
      <c r="AI46" s="120"/>
      <c r="AJ46" s="121"/>
      <c r="AK46" s="124"/>
      <c r="AL46" s="124"/>
      <c r="AM46" s="121"/>
      <c r="AN46" s="121">
        <f t="shared" si="4"/>
        <v>0</v>
      </c>
      <c r="AO46" s="121">
        <f t="shared" si="4"/>
        <v>0</v>
      </c>
      <c r="AP46" s="121">
        <f t="shared" si="4"/>
        <v>0</v>
      </c>
      <c r="AQ46" s="121">
        <f t="shared" si="4"/>
        <v>0</v>
      </c>
    </row>
    <row r="47" spans="1:43" s="26" customFormat="1" ht="13.5" customHeight="1">
      <c r="A47" s="24" t="s">
        <v>108</v>
      </c>
      <c r="F47" s="109"/>
      <c r="G47" s="109">
        <f t="shared" si="0"/>
      </c>
      <c r="H47" s="109"/>
      <c r="I47" s="109"/>
      <c r="J47" s="109"/>
      <c r="K47" s="109"/>
      <c r="L47" s="109"/>
      <c r="M47" s="109"/>
      <c r="N47" s="30"/>
      <c r="O47" s="30">
        <f t="shared" si="1"/>
        <v>0</v>
      </c>
      <c r="P47" s="26">
        <f t="shared" si="2"/>
        <v>0</v>
      </c>
      <c r="S47" s="26" t="s">
        <v>73</v>
      </c>
      <c r="V47" s="27"/>
      <c r="W47" s="28"/>
      <c r="X47" s="29">
        <f t="shared" si="3"/>
      </c>
      <c r="Y47" s="29"/>
      <c r="Z47" s="29"/>
      <c r="AA47" s="29"/>
      <c r="AB47" s="29"/>
      <c r="AC47" s="29"/>
      <c r="AD47" s="29"/>
      <c r="AE47" s="45" t="e">
        <f>IF(X98=17,6,)</f>
        <v>#NUM!</v>
      </c>
      <c r="AF47" s="45" t="e">
        <f>IF(P100=17,6,)</f>
        <v>#NUM!</v>
      </c>
      <c r="AH47" s="120"/>
      <c r="AI47" s="120">
        <v>1</v>
      </c>
      <c r="AJ47" s="121"/>
      <c r="AK47" s="121" t="e">
        <f aca="true" t="shared" si="11" ref="AK47:AK67">LOG(4*X47+1)*AI47</f>
        <v>#VALUE!</v>
      </c>
      <c r="AL47" s="124"/>
      <c r="AM47" s="121" t="e">
        <f aca="true" t="shared" si="12" ref="AM47:AM67">LOG(4*X47+1)</f>
        <v>#VALUE!</v>
      </c>
      <c r="AN47" s="121">
        <f t="shared" si="4"/>
        <v>0</v>
      </c>
      <c r="AO47" s="121">
        <f t="shared" si="4"/>
      </c>
      <c r="AP47" s="121">
        <f t="shared" si="4"/>
        <v>0</v>
      </c>
      <c r="AQ47" s="121">
        <f t="shared" si="4"/>
      </c>
    </row>
    <row r="48" spans="1:43" s="26" customFormat="1" ht="13.5" customHeight="1">
      <c r="A48" s="24" t="s">
        <v>109</v>
      </c>
      <c r="F48" s="109"/>
      <c r="G48" s="109">
        <f t="shared" si="0"/>
      </c>
      <c r="H48" s="109"/>
      <c r="I48" s="109"/>
      <c r="J48" s="109"/>
      <c r="K48" s="109"/>
      <c r="L48" s="109"/>
      <c r="M48" s="109"/>
      <c r="N48" s="30"/>
      <c r="O48" s="30">
        <f t="shared" si="1"/>
        <v>0</v>
      </c>
      <c r="P48" s="26">
        <f t="shared" si="2"/>
      </c>
      <c r="S48" s="26" t="s">
        <v>41</v>
      </c>
      <c r="U48" s="26">
        <f>IF(V48&gt;2,8,"")</f>
      </c>
      <c r="V48" s="27"/>
      <c r="W48" s="28"/>
      <c r="X48" s="29">
        <f t="shared" si="3"/>
      </c>
      <c r="Y48" s="29"/>
      <c r="Z48" s="29"/>
      <c r="AA48" s="29"/>
      <c r="AB48" s="29"/>
      <c r="AC48" s="29"/>
      <c r="AD48" s="29"/>
      <c r="AE48" s="45" t="e">
        <f>IF(X98=18,6,)</f>
        <v>#NUM!</v>
      </c>
      <c r="AF48" s="45" t="e">
        <f>IF(P100=18,6,)</f>
        <v>#NUM!</v>
      </c>
      <c r="AH48" s="120"/>
      <c r="AI48" s="120">
        <v>1</v>
      </c>
      <c r="AJ48" s="121"/>
      <c r="AK48" s="121" t="e">
        <f t="shared" si="11"/>
        <v>#VALUE!</v>
      </c>
      <c r="AL48" s="124"/>
      <c r="AM48" s="121" t="e">
        <f t="shared" si="12"/>
        <v>#VALUE!</v>
      </c>
      <c r="AN48" s="121">
        <f t="shared" si="4"/>
        <v>0</v>
      </c>
      <c r="AO48" s="121">
        <f t="shared" si="4"/>
      </c>
      <c r="AP48" s="121">
        <f t="shared" si="4"/>
        <v>0</v>
      </c>
      <c r="AQ48" s="121">
        <f t="shared" si="4"/>
      </c>
    </row>
    <row r="49" spans="2:43" s="26" customFormat="1" ht="13.5" customHeight="1">
      <c r="B49" s="26" t="s">
        <v>281</v>
      </c>
      <c r="E49" s="27"/>
      <c r="F49" s="28"/>
      <c r="G49" s="29">
        <f t="shared" si="0"/>
      </c>
      <c r="H49" s="118"/>
      <c r="I49" s="29"/>
      <c r="J49" s="29"/>
      <c r="K49" s="29"/>
      <c r="L49" s="29"/>
      <c r="M49" s="29"/>
      <c r="N49" s="30"/>
      <c r="O49" s="30">
        <f t="shared" si="1"/>
        <v>0</v>
      </c>
      <c r="P49" s="26">
        <f t="shared" si="2"/>
      </c>
      <c r="R49" s="39"/>
      <c r="S49" s="26" t="s">
        <v>43</v>
      </c>
      <c r="U49" s="26">
        <f>IF(V49&gt;2,8,"")</f>
      </c>
      <c r="V49" s="27"/>
      <c r="W49" s="28"/>
      <c r="X49" s="29">
        <f t="shared" si="3"/>
      </c>
      <c r="Y49" s="29"/>
      <c r="Z49" s="29"/>
      <c r="AA49" s="29"/>
      <c r="AB49" s="29"/>
      <c r="AC49" s="29"/>
      <c r="AD49" s="29"/>
      <c r="AE49" s="45" t="e">
        <f>IF(X98=19,6,)</f>
        <v>#NUM!</v>
      </c>
      <c r="AF49" s="45" t="e">
        <f>IF(P100=19,6,)</f>
        <v>#NUM!</v>
      </c>
      <c r="AH49" s="120">
        <v>0</v>
      </c>
      <c r="AI49" s="120">
        <v>1</v>
      </c>
      <c r="AJ49" s="121" t="e">
        <f>LOG(4*G49+1)*AH49</f>
        <v>#VALUE!</v>
      </c>
      <c r="AK49" s="121" t="e">
        <f t="shared" si="11"/>
        <v>#VALUE!</v>
      </c>
      <c r="AL49" s="121" t="e">
        <f>LOG(4*G49+1)</f>
        <v>#VALUE!</v>
      </c>
      <c r="AM49" s="121" t="e">
        <f t="shared" si="12"/>
        <v>#VALUE!</v>
      </c>
      <c r="AN49" s="121">
        <f t="shared" si="4"/>
      </c>
      <c r="AO49" s="121">
        <f t="shared" si="4"/>
      </c>
      <c r="AP49" s="121">
        <f t="shared" si="4"/>
      </c>
      <c r="AQ49" s="121">
        <f t="shared" si="4"/>
      </c>
    </row>
    <row r="50" spans="1:43" s="26" customFormat="1" ht="13.5" customHeight="1">
      <c r="A50" s="24" t="s">
        <v>297</v>
      </c>
      <c r="G50" s="26">
        <f t="shared" si="0"/>
      </c>
      <c r="N50" s="30"/>
      <c r="O50" s="30">
        <f t="shared" si="1"/>
        <v>0</v>
      </c>
      <c r="P50" s="26">
        <f>U50</f>
        <v>0</v>
      </c>
      <c r="R50" s="39"/>
      <c r="S50" s="26" t="s">
        <v>46</v>
      </c>
      <c r="V50" s="27"/>
      <c r="W50" s="28"/>
      <c r="X50" s="29">
        <f t="shared" si="3"/>
      </c>
      <c r="Y50" s="29"/>
      <c r="Z50" s="29"/>
      <c r="AA50" s="29"/>
      <c r="AB50" s="29"/>
      <c r="AC50" s="29"/>
      <c r="AD50" s="29"/>
      <c r="AE50" s="45" t="e">
        <f>IF(X98=20,6,)</f>
        <v>#NUM!</v>
      </c>
      <c r="AF50" s="45" t="e">
        <f>IF(P100=20,6,)</f>
        <v>#NUM!</v>
      </c>
      <c r="AH50" s="120"/>
      <c r="AI50" s="120">
        <v>1</v>
      </c>
      <c r="AJ50" s="121"/>
      <c r="AK50" s="121" t="e">
        <f>LOG(4*X50+1)*AI50</f>
        <v>#VALUE!</v>
      </c>
      <c r="AL50" s="124"/>
      <c r="AM50" s="121" t="e">
        <f t="shared" si="12"/>
        <v>#VALUE!</v>
      </c>
      <c r="AN50" s="121">
        <f t="shared" si="4"/>
        <v>0</v>
      </c>
      <c r="AO50" s="121">
        <f t="shared" si="4"/>
      </c>
      <c r="AP50" s="121">
        <f t="shared" si="4"/>
        <v>0</v>
      </c>
      <c r="AQ50" s="121">
        <f t="shared" si="4"/>
      </c>
    </row>
    <row r="51" spans="1:43" s="26" customFormat="1" ht="13.5" customHeight="1">
      <c r="A51" s="24" t="s">
        <v>110</v>
      </c>
      <c r="E51" s="27"/>
      <c r="F51" s="28"/>
      <c r="G51" s="29">
        <f t="shared" si="0"/>
      </c>
      <c r="H51" s="29"/>
      <c r="I51" s="29"/>
      <c r="J51" s="29"/>
      <c r="K51" s="29"/>
      <c r="L51" s="29"/>
      <c r="M51" s="29"/>
      <c r="N51" s="30"/>
      <c r="O51" s="30">
        <f t="shared" si="1"/>
        <v>0</v>
      </c>
      <c r="P51" s="26">
        <f t="shared" si="2"/>
      </c>
      <c r="R51" s="39"/>
      <c r="S51" s="26" t="s">
        <v>48</v>
      </c>
      <c r="U51" s="26">
        <f>IF(V51&gt;2,7,"")</f>
      </c>
      <c r="V51" s="27"/>
      <c r="W51" s="28"/>
      <c r="X51" s="29">
        <f t="shared" si="3"/>
      </c>
      <c r="Y51" s="29"/>
      <c r="Z51" s="29"/>
      <c r="AA51" s="29"/>
      <c r="AB51" s="29"/>
      <c r="AC51" s="29"/>
      <c r="AD51" s="29"/>
      <c r="AE51" s="45" t="e">
        <f>IF(X98=21,7,)</f>
        <v>#NUM!</v>
      </c>
      <c r="AF51" s="45" t="e">
        <f>IF(P100=21,7,)</f>
        <v>#NUM!</v>
      </c>
      <c r="AH51" s="120"/>
      <c r="AI51" s="120">
        <v>1</v>
      </c>
      <c r="AJ51" s="121"/>
      <c r="AK51" s="121" t="e">
        <f t="shared" si="11"/>
        <v>#VALUE!</v>
      </c>
      <c r="AL51" s="124"/>
      <c r="AM51" s="121" t="e">
        <f t="shared" si="12"/>
        <v>#VALUE!</v>
      </c>
      <c r="AN51" s="121">
        <f t="shared" si="4"/>
        <v>0</v>
      </c>
      <c r="AO51" s="121">
        <f t="shared" si="4"/>
      </c>
      <c r="AP51" s="121">
        <f t="shared" si="4"/>
        <v>0</v>
      </c>
      <c r="AQ51" s="121">
        <f t="shared" si="4"/>
      </c>
    </row>
    <row r="52" spans="1:43" s="26" customFormat="1" ht="13.5" customHeight="1">
      <c r="A52" s="24" t="s">
        <v>111</v>
      </c>
      <c r="G52" s="26">
        <f t="shared" si="0"/>
      </c>
      <c r="L52" s="77" t="s">
        <v>179</v>
      </c>
      <c r="M52" s="75"/>
      <c r="N52" s="30"/>
      <c r="O52" s="30">
        <f t="shared" si="1"/>
        <v>0</v>
      </c>
      <c r="P52" s="26">
        <f t="shared" si="2"/>
      </c>
      <c r="S52" s="26" t="s">
        <v>54</v>
      </c>
      <c r="U52" s="26">
        <f>IF(V52&gt;2,7,"")</f>
      </c>
      <c r="V52" s="27"/>
      <c r="W52" s="28"/>
      <c r="X52" s="29">
        <f t="shared" si="3"/>
      </c>
      <c r="Y52" s="29"/>
      <c r="Z52" s="29"/>
      <c r="AA52" s="29"/>
      <c r="AB52" s="29"/>
      <c r="AC52" s="29"/>
      <c r="AD52" s="29"/>
      <c r="AE52" s="45" t="e">
        <f>IF(X98=22,7,)</f>
        <v>#NUM!</v>
      </c>
      <c r="AF52" s="45" t="e">
        <f>IF(P100=22,7,)</f>
        <v>#NUM!</v>
      </c>
      <c r="AH52" s="120"/>
      <c r="AI52" s="120">
        <v>1</v>
      </c>
      <c r="AJ52" s="121"/>
      <c r="AK52" s="121" t="e">
        <f t="shared" si="11"/>
        <v>#VALUE!</v>
      </c>
      <c r="AL52" s="124"/>
      <c r="AM52" s="121" t="e">
        <f t="shared" si="12"/>
        <v>#VALUE!</v>
      </c>
      <c r="AN52" s="121">
        <f t="shared" si="4"/>
        <v>0</v>
      </c>
      <c r="AO52" s="121">
        <f t="shared" si="4"/>
      </c>
      <c r="AP52" s="121">
        <f t="shared" si="4"/>
        <v>0</v>
      </c>
      <c r="AQ52" s="121">
        <f t="shared" si="4"/>
      </c>
    </row>
    <row r="53" spans="1:43" s="26" customFormat="1" ht="13.5" customHeight="1">
      <c r="A53" s="24"/>
      <c r="B53" s="26" t="s">
        <v>168</v>
      </c>
      <c r="E53" s="27"/>
      <c r="F53" s="28"/>
      <c r="G53" s="29">
        <f t="shared" si="0"/>
      </c>
      <c r="H53" s="29"/>
      <c r="I53" s="29"/>
      <c r="J53" s="29"/>
      <c r="K53" s="29"/>
      <c r="L53" s="29"/>
      <c r="M53" s="29"/>
      <c r="N53" s="30"/>
      <c r="O53" s="30">
        <f t="shared" si="1"/>
        <v>0</v>
      </c>
      <c r="P53" s="26">
        <f t="shared" si="2"/>
        <v>0</v>
      </c>
      <c r="S53" s="26" t="s">
        <v>57</v>
      </c>
      <c r="V53" s="27"/>
      <c r="W53" s="28"/>
      <c r="X53" s="29">
        <f t="shared" si="3"/>
      </c>
      <c r="Y53" s="29"/>
      <c r="Z53" s="29"/>
      <c r="AA53" s="29"/>
      <c r="AB53" s="29"/>
      <c r="AC53" s="29"/>
      <c r="AD53" s="29"/>
      <c r="AE53" s="45" t="e">
        <f>IF(X98=23,7,)</f>
        <v>#NUM!</v>
      </c>
      <c r="AF53" s="45" t="e">
        <f>IF(P100=23,7,)</f>
        <v>#NUM!</v>
      </c>
      <c r="AH53" s="120"/>
      <c r="AI53" s="120">
        <v>1</v>
      </c>
      <c r="AJ53" s="121"/>
      <c r="AK53" s="121" t="e">
        <f t="shared" si="11"/>
        <v>#VALUE!</v>
      </c>
      <c r="AL53" s="124"/>
      <c r="AM53" s="121" t="e">
        <f t="shared" si="12"/>
        <v>#VALUE!</v>
      </c>
      <c r="AN53" s="121">
        <f t="shared" si="4"/>
        <v>0</v>
      </c>
      <c r="AO53" s="121">
        <f t="shared" si="4"/>
      </c>
      <c r="AP53" s="121">
        <f t="shared" si="4"/>
        <v>0</v>
      </c>
      <c r="AQ53" s="121">
        <f t="shared" si="4"/>
      </c>
    </row>
    <row r="54" spans="1:43" s="26" customFormat="1" ht="13.5" customHeight="1">
      <c r="A54" s="24"/>
      <c r="B54" s="26" t="s">
        <v>112</v>
      </c>
      <c r="D54" s="26">
        <f>IF(E54&gt;9,2,"")</f>
      </c>
      <c r="E54" s="27"/>
      <c r="F54" s="28"/>
      <c r="G54" s="29">
        <f t="shared" si="0"/>
      </c>
      <c r="H54" s="29"/>
      <c r="I54" s="29"/>
      <c r="J54" s="29"/>
      <c r="K54" s="29"/>
      <c r="L54" s="76" t="s">
        <v>177</v>
      </c>
      <c r="M54" s="75"/>
      <c r="N54" s="30"/>
      <c r="O54" s="30">
        <f t="shared" si="1"/>
      </c>
      <c r="P54" s="26">
        <f t="shared" si="2"/>
      </c>
      <c r="S54" s="26" t="s">
        <v>60</v>
      </c>
      <c r="U54" s="26">
        <f>IF(V54&gt;2,3,"")</f>
      </c>
      <c r="V54" s="27"/>
      <c r="W54" s="28"/>
      <c r="X54" s="29">
        <f t="shared" si="3"/>
      </c>
      <c r="Y54" s="29"/>
      <c r="Z54" s="29"/>
      <c r="AA54" s="29"/>
      <c r="AB54" s="29"/>
      <c r="AC54" s="29"/>
      <c r="AD54" s="29"/>
      <c r="AE54" s="45" t="e">
        <f>IF(X98=24,7,)</f>
        <v>#NUM!</v>
      </c>
      <c r="AF54" s="45" t="e">
        <f>IF(P100=24,7,)</f>
        <v>#NUM!</v>
      </c>
      <c r="AH54" s="120">
        <v>0</v>
      </c>
      <c r="AI54" s="120">
        <v>0</v>
      </c>
      <c r="AJ54" s="121" t="e">
        <f>LOG(4*G54+1)*AH54</f>
        <v>#VALUE!</v>
      </c>
      <c r="AK54" s="121" t="e">
        <f t="shared" si="11"/>
        <v>#VALUE!</v>
      </c>
      <c r="AL54" s="121" t="e">
        <f>LOG(4*G54+1)</f>
        <v>#VALUE!</v>
      </c>
      <c r="AM54" s="121" t="e">
        <f t="shared" si="12"/>
        <v>#VALUE!</v>
      </c>
      <c r="AN54" s="121">
        <f t="shared" si="4"/>
      </c>
      <c r="AO54" s="121">
        <f t="shared" si="4"/>
      </c>
      <c r="AP54" s="121">
        <f t="shared" si="4"/>
      </c>
      <c r="AQ54" s="121">
        <f t="shared" si="4"/>
      </c>
    </row>
    <row r="55" spans="1:43" s="26" customFormat="1" ht="13.5" customHeight="1">
      <c r="A55" s="24"/>
      <c r="B55" s="26" t="s">
        <v>113</v>
      </c>
      <c r="E55" s="27"/>
      <c r="F55" s="28"/>
      <c r="G55" s="29">
        <f t="shared" si="0"/>
      </c>
      <c r="H55" s="29"/>
      <c r="I55" s="29"/>
      <c r="J55" s="29"/>
      <c r="K55" s="29"/>
      <c r="L55" s="29"/>
      <c r="M55" s="29"/>
      <c r="N55" s="30"/>
      <c r="O55" s="30">
        <f t="shared" si="1"/>
        <v>0</v>
      </c>
      <c r="P55" s="26">
        <f t="shared" si="2"/>
      </c>
      <c r="S55" s="26" t="s">
        <v>63</v>
      </c>
      <c r="U55" s="26">
        <f>IF(V55&gt;2,5,"")</f>
      </c>
      <c r="V55" s="27"/>
      <c r="W55" s="28"/>
      <c r="X55" s="29">
        <f t="shared" si="3"/>
      </c>
      <c r="Y55" s="29"/>
      <c r="Z55" s="29"/>
      <c r="AA55" s="29"/>
      <c r="AB55" s="29"/>
      <c r="AC55" s="29"/>
      <c r="AD55" s="29"/>
      <c r="AE55" s="45" t="e">
        <f>IF(X98=25,8,)</f>
        <v>#NUM!</v>
      </c>
      <c r="AF55" s="45" t="e">
        <f>IF(P100=25,8,)</f>
        <v>#NUM!</v>
      </c>
      <c r="AH55" s="120"/>
      <c r="AI55" s="120">
        <v>1</v>
      </c>
      <c r="AJ55" s="121"/>
      <c r="AK55" s="121" t="e">
        <f t="shared" si="11"/>
        <v>#VALUE!</v>
      </c>
      <c r="AL55" s="124"/>
      <c r="AM55" s="121" t="e">
        <f t="shared" si="12"/>
        <v>#VALUE!</v>
      </c>
      <c r="AN55" s="121">
        <f t="shared" si="4"/>
        <v>0</v>
      </c>
      <c r="AO55" s="121">
        <f t="shared" si="4"/>
      </c>
      <c r="AP55" s="121">
        <f t="shared" si="4"/>
        <v>0</v>
      </c>
      <c r="AQ55" s="121">
        <f t="shared" si="4"/>
      </c>
    </row>
    <row r="56" spans="1:43" s="26" customFormat="1" ht="13.5" customHeight="1">
      <c r="A56" s="24" t="s">
        <v>114</v>
      </c>
      <c r="E56" s="39"/>
      <c r="G56" s="26">
        <f t="shared" si="0"/>
      </c>
      <c r="N56" s="30"/>
      <c r="O56" s="30">
        <f t="shared" si="1"/>
        <v>0</v>
      </c>
      <c r="P56" s="26">
        <f t="shared" si="2"/>
      </c>
      <c r="S56" s="26" t="s">
        <v>4</v>
      </c>
      <c r="U56" s="26">
        <f>IF(V56&gt;2,6,"")</f>
      </c>
      <c r="V56" s="27"/>
      <c r="W56" s="28"/>
      <c r="X56" s="29">
        <f t="shared" si="3"/>
      </c>
      <c r="Y56" s="29"/>
      <c r="Z56" s="29"/>
      <c r="AA56" s="29"/>
      <c r="AB56" s="29"/>
      <c r="AC56" s="29"/>
      <c r="AD56" s="29"/>
      <c r="AE56" s="45" t="e">
        <f>IF(X98=26,8,)</f>
        <v>#NUM!</v>
      </c>
      <c r="AF56" s="45" t="e">
        <f>IF(P100=26,8,)</f>
        <v>#NUM!</v>
      </c>
      <c r="AH56" s="120"/>
      <c r="AI56" s="120">
        <v>1</v>
      </c>
      <c r="AJ56" s="121"/>
      <c r="AK56" s="121" t="e">
        <f t="shared" si="11"/>
        <v>#VALUE!</v>
      </c>
      <c r="AL56" s="124"/>
      <c r="AM56" s="121" t="e">
        <f t="shared" si="12"/>
        <v>#VALUE!</v>
      </c>
      <c r="AN56" s="121">
        <f t="shared" si="4"/>
        <v>0</v>
      </c>
      <c r="AO56" s="121">
        <f t="shared" si="4"/>
      </c>
      <c r="AP56" s="121">
        <f t="shared" si="4"/>
        <v>0</v>
      </c>
      <c r="AQ56" s="121">
        <f t="shared" si="4"/>
      </c>
    </row>
    <row r="57" spans="2:43" s="26" customFormat="1" ht="13.5" customHeight="1">
      <c r="B57" s="26" t="s">
        <v>115</v>
      </c>
      <c r="D57" s="26">
        <f>IF(E57&gt;9,1,"")</f>
      </c>
      <c r="E57" s="27"/>
      <c r="F57" s="28"/>
      <c r="G57" s="29">
        <f t="shared" si="0"/>
      </c>
      <c r="H57" s="29"/>
      <c r="I57" s="29"/>
      <c r="J57" s="29"/>
      <c r="K57" s="29"/>
      <c r="L57" s="29"/>
      <c r="M57" s="29"/>
      <c r="N57" s="30"/>
      <c r="O57" s="30">
        <f t="shared" si="1"/>
      </c>
      <c r="P57" s="26">
        <f t="shared" si="2"/>
      </c>
      <c r="S57" s="26" t="s">
        <v>9</v>
      </c>
      <c r="U57" s="26">
        <f>IF(V57&gt;2,4,"")</f>
      </c>
      <c r="V57" s="27"/>
      <c r="W57" s="28"/>
      <c r="X57" s="29">
        <f t="shared" si="3"/>
      </c>
      <c r="Y57" s="29"/>
      <c r="Z57" s="29"/>
      <c r="AA57" s="29"/>
      <c r="AB57" s="29"/>
      <c r="AC57" s="29"/>
      <c r="AD57" s="29"/>
      <c r="AE57" s="45" t="e">
        <f>IF(X98=27,8,)</f>
        <v>#NUM!</v>
      </c>
      <c r="AF57" s="45" t="e">
        <f>IF(P100=27,8,)</f>
        <v>#NUM!</v>
      </c>
      <c r="AH57" s="120">
        <v>0</v>
      </c>
      <c r="AI57" s="120">
        <v>0</v>
      </c>
      <c r="AJ57" s="121" t="e">
        <f>LOG(4*G57+1)*AH57</f>
        <v>#VALUE!</v>
      </c>
      <c r="AK57" s="121" t="e">
        <f t="shared" si="11"/>
        <v>#VALUE!</v>
      </c>
      <c r="AL57" s="121" t="e">
        <f>LOG(4*G57+1)</f>
        <v>#VALUE!</v>
      </c>
      <c r="AM57" s="121" t="e">
        <f t="shared" si="12"/>
        <v>#VALUE!</v>
      </c>
      <c r="AN57" s="121">
        <f t="shared" si="4"/>
      </c>
      <c r="AO57" s="121">
        <f t="shared" si="4"/>
      </c>
      <c r="AP57" s="121">
        <f t="shared" si="4"/>
      </c>
      <c r="AQ57" s="121">
        <f t="shared" si="4"/>
      </c>
    </row>
    <row r="58" spans="2:43" s="26" customFormat="1" ht="13.5" customHeight="1">
      <c r="B58" s="26" t="s">
        <v>171</v>
      </c>
      <c r="E58" s="27"/>
      <c r="F58" s="28"/>
      <c r="G58" s="29">
        <f t="shared" si="0"/>
      </c>
      <c r="H58" s="29"/>
      <c r="I58" s="29"/>
      <c r="J58" s="29"/>
      <c r="K58" s="29"/>
      <c r="L58" s="29"/>
      <c r="M58" s="29"/>
      <c r="N58" s="30"/>
      <c r="O58" s="30">
        <f t="shared" si="1"/>
        <v>0</v>
      </c>
      <c r="P58" s="26">
        <f t="shared" si="2"/>
      </c>
      <c r="S58" s="26" t="s">
        <v>18</v>
      </c>
      <c r="U58" s="26">
        <f>IF(V58&gt;9,3,"")</f>
      </c>
      <c r="V58" s="27"/>
      <c r="W58" s="28"/>
      <c r="X58" s="29">
        <f t="shared" si="3"/>
      </c>
      <c r="Y58" s="29"/>
      <c r="Z58" s="29"/>
      <c r="AA58" s="29"/>
      <c r="AB58" s="29"/>
      <c r="AC58" s="29"/>
      <c r="AD58" s="29"/>
      <c r="AE58" s="45" t="e">
        <f>IF(X98=28,8,)</f>
        <v>#NUM!</v>
      </c>
      <c r="AF58" s="45" t="e">
        <f>IF(P100=28,8,)</f>
        <v>#NUM!</v>
      </c>
      <c r="AH58" s="120"/>
      <c r="AI58" s="120">
        <v>1</v>
      </c>
      <c r="AJ58" s="121"/>
      <c r="AK58" s="121" t="e">
        <f t="shared" si="11"/>
        <v>#VALUE!</v>
      </c>
      <c r="AL58" s="124"/>
      <c r="AM58" s="121" t="e">
        <f t="shared" si="12"/>
        <v>#VALUE!</v>
      </c>
      <c r="AN58" s="121">
        <f t="shared" si="4"/>
        <v>0</v>
      </c>
      <c r="AO58" s="121">
        <f t="shared" si="4"/>
      </c>
      <c r="AP58" s="121">
        <f t="shared" si="4"/>
        <v>0</v>
      </c>
      <c r="AQ58" s="121">
        <f t="shared" si="4"/>
      </c>
    </row>
    <row r="59" spans="1:43" s="26" customFormat="1" ht="13.5" customHeight="1">
      <c r="A59" s="24" t="s">
        <v>116</v>
      </c>
      <c r="E59" s="39"/>
      <c r="G59" s="26">
        <f t="shared" si="0"/>
      </c>
      <c r="N59" s="30"/>
      <c r="O59" s="30">
        <f t="shared" si="1"/>
        <v>0</v>
      </c>
      <c r="P59" s="26">
        <f>U59</f>
        <v>0</v>
      </c>
      <c r="S59" s="26" t="s">
        <v>24</v>
      </c>
      <c r="V59" s="27"/>
      <c r="W59" s="28"/>
      <c r="X59" s="29">
        <f t="shared" si="3"/>
      </c>
      <c r="Y59" s="29"/>
      <c r="Z59" s="29"/>
      <c r="AA59" s="29"/>
      <c r="AB59" s="29"/>
      <c r="AC59" s="29"/>
      <c r="AD59" s="29"/>
      <c r="AE59" s="45" t="e">
        <f>IF(X98=29,9,)</f>
        <v>#NUM!</v>
      </c>
      <c r="AF59" s="45" t="e">
        <f>IF(P100=29,9,)</f>
        <v>#NUM!</v>
      </c>
      <c r="AH59" s="120"/>
      <c r="AI59" s="120">
        <v>1</v>
      </c>
      <c r="AJ59" s="121"/>
      <c r="AK59" s="121" t="e">
        <f t="shared" si="11"/>
        <v>#VALUE!</v>
      </c>
      <c r="AL59" s="124"/>
      <c r="AM59" s="121" t="e">
        <f t="shared" si="12"/>
        <v>#VALUE!</v>
      </c>
      <c r="AN59" s="121">
        <f t="shared" si="4"/>
        <v>0</v>
      </c>
      <c r="AO59" s="121">
        <f t="shared" si="4"/>
      </c>
      <c r="AP59" s="121">
        <f t="shared" si="4"/>
        <v>0</v>
      </c>
      <c r="AQ59" s="121">
        <f t="shared" si="4"/>
      </c>
    </row>
    <row r="60" spans="2:43" s="26" customFormat="1" ht="13.5" customHeight="1">
      <c r="B60" s="26" t="s">
        <v>172</v>
      </c>
      <c r="E60" s="27"/>
      <c r="F60" s="28"/>
      <c r="G60" s="29">
        <f t="shared" si="0"/>
      </c>
      <c r="H60" s="29"/>
      <c r="I60" s="29"/>
      <c r="J60" s="29"/>
      <c r="K60" s="29"/>
      <c r="L60" s="29"/>
      <c r="M60" s="29"/>
      <c r="N60" s="30"/>
      <c r="O60" s="30">
        <f t="shared" si="1"/>
        <v>0</v>
      </c>
      <c r="P60" s="26">
        <f t="shared" si="2"/>
      </c>
      <c r="S60" s="26" t="s">
        <v>26</v>
      </c>
      <c r="U60" s="26">
        <f>IF(V60&gt;2,7,"")</f>
      </c>
      <c r="V60" s="27"/>
      <c r="W60" s="28"/>
      <c r="X60" s="29">
        <f t="shared" si="3"/>
      </c>
      <c r="Y60" s="29"/>
      <c r="Z60" s="29"/>
      <c r="AA60" s="29"/>
      <c r="AB60" s="29"/>
      <c r="AC60" s="29"/>
      <c r="AD60" s="29"/>
      <c r="AE60" s="45" t="e">
        <f>IF(X98=30,9,)</f>
        <v>#NUM!</v>
      </c>
      <c r="AF60" s="45" t="e">
        <f>IF(P100=30,9,)</f>
        <v>#NUM!</v>
      </c>
      <c r="AH60" s="120"/>
      <c r="AI60" s="120">
        <v>1</v>
      </c>
      <c r="AJ60" s="121"/>
      <c r="AK60" s="121" t="e">
        <f t="shared" si="11"/>
        <v>#VALUE!</v>
      </c>
      <c r="AL60" s="124"/>
      <c r="AM60" s="121" t="e">
        <f t="shared" si="12"/>
        <v>#VALUE!</v>
      </c>
      <c r="AN60" s="121">
        <f t="shared" si="4"/>
        <v>0</v>
      </c>
      <c r="AO60" s="121">
        <f t="shared" si="4"/>
      </c>
      <c r="AP60" s="121">
        <f t="shared" si="4"/>
        <v>0</v>
      </c>
      <c r="AQ60" s="121">
        <f t="shared" si="4"/>
      </c>
    </row>
    <row r="61" spans="1:43" s="26" customFormat="1" ht="13.5" customHeight="1">
      <c r="A61" s="24" t="s">
        <v>117</v>
      </c>
      <c r="E61" s="39"/>
      <c r="G61" s="26">
        <f t="shared" si="0"/>
      </c>
      <c r="N61" s="30"/>
      <c r="O61" s="30">
        <f t="shared" si="1"/>
        <v>0</v>
      </c>
      <c r="P61" s="26">
        <f t="shared" si="2"/>
      </c>
      <c r="S61" s="26" t="s">
        <v>27</v>
      </c>
      <c r="U61" s="26">
        <f>IF(V61&gt;2,8,"")</f>
      </c>
      <c r="V61" s="27"/>
      <c r="W61" s="28"/>
      <c r="X61" s="29">
        <f t="shared" si="3"/>
      </c>
      <c r="Y61" s="29"/>
      <c r="Z61" s="29"/>
      <c r="AA61" s="29"/>
      <c r="AB61" s="29"/>
      <c r="AC61" s="29"/>
      <c r="AD61" s="29"/>
      <c r="AE61" s="45" t="e">
        <f>IF(X98=31,9,)</f>
        <v>#NUM!</v>
      </c>
      <c r="AF61" s="45" t="e">
        <f>IF(P100=31,9,)</f>
        <v>#NUM!</v>
      </c>
      <c r="AH61" s="120"/>
      <c r="AI61" s="120">
        <v>1</v>
      </c>
      <c r="AJ61" s="121"/>
      <c r="AK61" s="121" t="e">
        <f t="shared" si="11"/>
        <v>#VALUE!</v>
      </c>
      <c r="AL61" s="124"/>
      <c r="AM61" s="121" t="e">
        <f t="shared" si="12"/>
        <v>#VALUE!</v>
      </c>
      <c r="AN61" s="121">
        <f t="shared" si="4"/>
        <v>0</v>
      </c>
      <c r="AO61" s="121">
        <f t="shared" si="4"/>
      </c>
      <c r="AP61" s="121">
        <f t="shared" si="4"/>
        <v>0</v>
      </c>
      <c r="AQ61" s="121">
        <f t="shared" si="4"/>
      </c>
    </row>
    <row r="62" spans="1:43" s="26" customFormat="1" ht="13.5" customHeight="1">
      <c r="A62" s="24"/>
      <c r="B62" s="26" t="s">
        <v>118</v>
      </c>
      <c r="E62" s="27"/>
      <c r="F62" s="68"/>
      <c r="G62" s="29">
        <f t="shared" si="0"/>
      </c>
      <c r="H62" s="69"/>
      <c r="I62" s="69"/>
      <c r="J62" s="69"/>
      <c r="K62" s="69"/>
      <c r="L62" s="69"/>
      <c r="M62" s="69"/>
      <c r="N62" s="30"/>
      <c r="O62" s="30">
        <f t="shared" si="1"/>
        <v>0</v>
      </c>
      <c r="P62" s="26">
        <f t="shared" si="2"/>
        <v>0</v>
      </c>
      <c r="S62" s="26" t="s">
        <v>28</v>
      </c>
      <c r="V62" s="27"/>
      <c r="W62" s="28"/>
      <c r="X62" s="29">
        <f t="shared" si="3"/>
      </c>
      <c r="Y62" s="29"/>
      <c r="Z62" s="29"/>
      <c r="AA62" s="29"/>
      <c r="AB62" s="29"/>
      <c r="AC62" s="29"/>
      <c r="AD62" s="29"/>
      <c r="AE62" s="45" t="e">
        <f>IF(X98=32,9,)</f>
        <v>#NUM!</v>
      </c>
      <c r="AF62" s="45" t="e">
        <f>IF(P100=32,9,)</f>
        <v>#NUM!</v>
      </c>
      <c r="AH62" s="120"/>
      <c r="AI62" s="120">
        <v>1</v>
      </c>
      <c r="AJ62" s="121"/>
      <c r="AK62" s="121" t="e">
        <f t="shared" si="11"/>
        <v>#VALUE!</v>
      </c>
      <c r="AL62" s="124"/>
      <c r="AM62" s="121" t="e">
        <f t="shared" si="12"/>
        <v>#VALUE!</v>
      </c>
      <c r="AN62" s="121">
        <f t="shared" si="4"/>
        <v>0</v>
      </c>
      <c r="AO62" s="121">
        <f t="shared" si="4"/>
      </c>
      <c r="AP62" s="121">
        <f t="shared" si="4"/>
        <v>0</v>
      </c>
      <c r="AQ62" s="121">
        <f t="shared" si="4"/>
      </c>
    </row>
    <row r="63" spans="1:43" s="26" customFormat="1" ht="13.5" customHeight="1">
      <c r="A63" s="43"/>
      <c r="B63" s="34" t="s">
        <v>173</v>
      </c>
      <c r="C63" s="34"/>
      <c r="D63" s="34"/>
      <c r="E63" s="42"/>
      <c r="F63" s="41"/>
      <c r="G63" s="41">
        <f t="shared" si="0"/>
      </c>
      <c r="H63" s="41"/>
      <c r="I63" s="41"/>
      <c r="J63" s="41"/>
      <c r="K63" s="41"/>
      <c r="L63" s="41"/>
      <c r="M63" s="41"/>
      <c r="N63" s="30"/>
      <c r="O63" s="30">
        <f t="shared" si="1"/>
        <v>0</v>
      </c>
      <c r="P63" s="26">
        <f t="shared" si="2"/>
      </c>
      <c r="S63" s="26" t="s">
        <v>33</v>
      </c>
      <c r="U63" s="26">
        <f>IF(V63&gt;2,4,"")</f>
      </c>
      <c r="V63" s="27"/>
      <c r="W63" s="28"/>
      <c r="X63" s="29">
        <f t="shared" si="3"/>
      </c>
      <c r="Y63" s="29"/>
      <c r="Z63" s="29"/>
      <c r="AA63" s="29"/>
      <c r="AB63" s="29"/>
      <c r="AC63" s="29"/>
      <c r="AD63" s="29"/>
      <c r="AE63" s="45" t="e">
        <f>IF(X98=33,10,)</f>
        <v>#NUM!</v>
      </c>
      <c r="AF63" s="45" t="e">
        <f>IF(P100=33,10,)</f>
        <v>#NUM!</v>
      </c>
      <c r="AH63" s="120"/>
      <c r="AI63" s="120">
        <v>1</v>
      </c>
      <c r="AJ63" s="121"/>
      <c r="AK63" s="121" t="e">
        <f t="shared" si="11"/>
        <v>#VALUE!</v>
      </c>
      <c r="AL63" s="124"/>
      <c r="AM63" s="121" t="e">
        <f t="shared" si="12"/>
        <v>#VALUE!</v>
      </c>
      <c r="AN63" s="121">
        <f t="shared" si="4"/>
        <v>0</v>
      </c>
      <c r="AO63" s="121">
        <f t="shared" si="4"/>
      </c>
      <c r="AP63" s="121">
        <f t="shared" si="4"/>
        <v>0</v>
      </c>
      <c r="AQ63" s="121">
        <f t="shared" si="4"/>
      </c>
    </row>
    <row r="64" spans="1:43" s="26" customFormat="1" ht="13.5" customHeight="1">
      <c r="A64" s="24" t="s">
        <v>119</v>
      </c>
      <c r="F64" s="109"/>
      <c r="G64" s="109">
        <f t="shared" si="0"/>
      </c>
      <c r="H64" s="109"/>
      <c r="I64" s="109"/>
      <c r="J64" s="109"/>
      <c r="K64" s="109"/>
      <c r="L64" s="109"/>
      <c r="M64" s="109"/>
      <c r="N64" s="30"/>
      <c r="O64" s="30">
        <f t="shared" si="1"/>
        <v>0</v>
      </c>
      <c r="P64" s="26">
        <f t="shared" si="2"/>
      </c>
      <c r="S64" s="26" t="s">
        <v>37</v>
      </c>
      <c r="U64" s="26">
        <f>IF(V64&gt;2,4,"")</f>
      </c>
      <c r="V64" s="27"/>
      <c r="W64" s="28"/>
      <c r="X64" s="29">
        <f t="shared" si="3"/>
      </c>
      <c r="Y64" s="29"/>
      <c r="Z64" s="29"/>
      <c r="AA64" s="29"/>
      <c r="AB64" s="29"/>
      <c r="AC64" s="29"/>
      <c r="AD64" s="29"/>
      <c r="AE64" s="45" t="e">
        <f>IF(X98=34,10,)</f>
        <v>#NUM!</v>
      </c>
      <c r="AF64" s="45" t="e">
        <f>IF(P100=34,10,)</f>
        <v>#NUM!</v>
      </c>
      <c r="AH64" s="120"/>
      <c r="AI64" s="120">
        <v>1</v>
      </c>
      <c r="AJ64" s="121"/>
      <c r="AK64" s="121" t="e">
        <f t="shared" si="11"/>
        <v>#VALUE!</v>
      </c>
      <c r="AL64" s="124"/>
      <c r="AM64" s="121" t="e">
        <f t="shared" si="12"/>
        <v>#VALUE!</v>
      </c>
      <c r="AN64" s="121">
        <f t="shared" si="4"/>
        <v>0</v>
      </c>
      <c r="AO64" s="121">
        <f t="shared" si="4"/>
      </c>
      <c r="AP64" s="121">
        <f t="shared" si="4"/>
        <v>0</v>
      </c>
      <c r="AQ64" s="121">
        <f t="shared" si="4"/>
      </c>
    </row>
    <row r="65" spans="1:43" s="26" customFormat="1" ht="13.5" customHeight="1">
      <c r="A65" s="24" t="s">
        <v>120</v>
      </c>
      <c r="E65" s="39"/>
      <c r="F65" s="109"/>
      <c r="G65" s="109">
        <f t="shared" si="0"/>
      </c>
      <c r="H65" s="109"/>
      <c r="I65" s="109"/>
      <c r="J65" s="109"/>
      <c r="K65" s="109"/>
      <c r="L65" s="109"/>
      <c r="M65" s="109"/>
      <c r="N65" s="30"/>
      <c r="O65" s="30">
        <f t="shared" si="1"/>
        <v>0</v>
      </c>
      <c r="P65" s="26">
        <f t="shared" si="2"/>
        <v>0</v>
      </c>
      <c r="S65" s="26" t="s">
        <v>74</v>
      </c>
      <c r="V65" s="27"/>
      <c r="W65" s="28"/>
      <c r="X65" s="29">
        <f t="shared" si="3"/>
      </c>
      <c r="Y65" s="29"/>
      <c r="Z65" s="29"/>
      <c r="AA65" s="29"/>
      <c r="AB65" s="29"/>
      <c r="AC65" s="29"/>
      <c r="AD65" s="29"/>
      <c r="AE65" s="45" t="e">
        <f>IF(X98=35,10,)</f>
        <v>#NUM!</v>
      </c>
      <c r="AF65" s="45" t="e">
        <f>IF(P100=35,10,)</f>
        <v>#NUM!</v>
      </c>
      <c r="AH65" s="120"/>
      <c r="AI65" s="120">
        <v>1</v>
      </c>
      <c r="AJ65" s="121"/>
      <c r="AK65" s="121" t="e">
        <f t="shared" si="11"/>
        <v>#VALUE!</v>
      </c>
      <c r="AL65" s="124"/>
      <c r="AM65" s="121" t="e">
        <f t="shared" si="12"/>
        <v>#VALUE!</v>
      </c>
      <c r="AN65" s="121">
        <f t="shared" si="4"/>
        <v>0</v>
      </c>
      <c r="AO65" s="121">
        <f t="shared" si="4"/>
      </c>
      <c r="AP65" s="121">
        <f t="shared" si="4"/>
        <v>0</v>
      </c>
      <c r="AQ65" s="121">
        <f t="shared" si="4"/>
      </c>
    </row>
    <row r="66" spans="2:43" s="26" customFormat="1" ht="13.5" customHeight="1">
      <c r="B66" s="26" t="s">
        <v>121</v>
      </c>
      <c r="E66" s="27"/>
      <c r="F66" s="28"/>
      <c r="G66" s="29">
        <f t="shared" si="0"/>
      </c>
      <c r="H66" s="29"/>
      <c r="I66" s="29"/>
      <c r="J66" s="29"/>
      <c r="K66" s="29"/>
      <c r="L66" s="29"/>
      <c r="M66" s="29"/>
      <c r="N66" s="30"/>
      <c r="O66" s="30">
        <f t="shared" si="1"/>
        <v>0</v>
      </c>
      <c r="P66" s="26">
        <f t="shared" si="2"/>
      </c>
      <c r="S66" s="26" t="s">
        <v>40</v>
      </c>
      <c r="U66" s="26">
        <f>IF(V66&gt;2,4,"")</f>
      </c>
      <c r="V66" s="27"/>
      <c r="W66" s="28"/>
      <c r="X66" s="29">
        <f t="shared" si="3"/>
      </c>
      <c r="Y66" s="29"/>
      <c r="Z66" s="29"/>
      <c r="AA66" s="29"/>
      <c r="AB66" s="29"/>
      <c r="AC66" s="29"/>
      <c r="AD66" s="29"/>
      <c r="AE66" s="45" t="e">
        <f>IF(X98=36,10,)</f>
        <v>#NUM!</v>
      </c>
      <c r="AF66" s="45" t="e">
        <f>IF(P100=36,10,)</f>
        <v>#NUM!</v>
      </c>
      <c r="AH66" s="120">
        <v>1</v>
      </c>
      <c r="AI66" s="120">
        <v>1</v>
      </c>
      <c r="AJ66" s="121" t="e">
        <f aca="true" t="shared" si="13" ref="AJ66:AJ76">LOG(4*G66+1)*AH66</f>
        <v>#VALUE!</v>
      </c>
      <c r="AK66" s="121" t="e">
        <f t="shared" si="11"/>
        <v>#VALUE!</v>
      </c>
      <c r="AL66" s="121" t="e">
        <f>LOG(4*G66+1)</f>
        <v>#VALUE!</v>
      </c>
      <c r="AM66" s="121" t="e">
        <f t="shared" si="12"/>
        <v>#VALUE!</v>
      </c>
      <c r="AN66" s="121">
        <f t="shared" si="4"/>
      </c>
      <c r="AO66" s="121">
        <f t="shared" si="4"/>
      </c>
      <c r="AP66" s="121">
        <f t="shared" si="4"/>
      </c>
      <c r="AQ66" s="121">
        <f t="shared" si="4"/>
      </c>
    </row>
    <row r="67" spans="2:43" s="26" customFormat="1" ht="13.5" customHeight="1">
      <c r="B67" s="26" t="s">
        <v>122</v>
      </c>
      <c r="D67" s="26">
        <f>IF(E67&gt;9,2,"")</f>
      </c>
      <c r="E67" s="27"/>
      <c r="F67" s="28"/>
      <c r="G67" s="29">
        <f t="shared" si="0"/>
      </c>
      <c r="H67" s="29"/>
      <c r="I67" s="29"/>
      <c r="J67" s="29"/>
      <c r="K67" s="29"/>
      <c r="L67" s="29"/>
      <c r="M67" s="29"/>
      <c r="N67" s="30"/>
      <c r="O67" s="30">
        <f t="shared" si="1"/>
      </c>
      <c r="P67" s="26">
        <f t="shared" si="2"/>
      </c>
      <c r="R67" s="34"/>
      <c r="S67" s="34" t="s">
        <v>42</v>
      </c>
      <c r="T67" s="34"/>
      <c r="U67" s="44">
        <f>IF(V67&gt;2,6,"")</f>
      </c>
      <c r="V67" s="27"/>
      <c r="W67" s="40"/>
      <c r="X67" s="41">
        <f t="shared" si="3"/>
      </c>
      <c r="Y67" s="41"/>
      <c r="Z67" s="41"/>
      <c r="AA67" s="41"/>
      <c r="AB67" s="41"/>
      <c r="AC67" s="41"/>
      <c r="AD67" s="41"/>
      <c r="AE67" s="45" t="e">
        <f>IF(X98=37,11,)</f>
        <v>#NUM!</v>
      </c>
      <c r="AF67" s="45" t="e">
        <f>IF(P100=37,11,)</f>
        <v>#NUM!</v>
      </c>
      <c r="AH67" s="120">
        <v>1</v>
      </c>
      <c r="AI67" s="120">
        <v>0</v>
      </c>
      <c r="AJ67" s="121" t="e">
        <f t="shared" si="13"/>
        <v>#VALUE!</v>
      </c>
      <c r="AK67" s="121" t="e">
        <f t="shared" si="11"/>
        <v>#VALUE!</v>
      </c>
      <c r="AL67" s="121" t="e">
        <f aca="true" t="shared" si="14" ref="AL67:AL76">LOG(4*G67+1)</f>
        <v>#VALUE!</v>
      </c>
      <c r="AM67" s="121" t="e">
        <f t="shared" si="12"/>
        <v>#VALUE!</v>
      </c>
      <c r="AN67" s="121">
        <f t="shared" si="4"/>
      </c>
      <c r="AO67" s="121">
        <f t="shared" si="4"/>
      </c>
      <c r="AP67" s="121">
        <f t="shared" si="4"/>
      </c>
      <c r="AQ67" s="121">
        <f t="shared" si="4"/>
      </c>
    </row>
    <row r="68" spans="2:43" s="26" customFormat="1" ht="13.5" customHeight="1">
      <c r="B68" s="26" t="s">
        <v>123</v>
      </c>
      <c r="D68" s="26">
        <f>IF(E68&gt;9,2,"")</f>
      </c>
      <c r="E68" s="27"/>
      <c r="F68" s="28"/>
      <c r="G68" s="29">
        <f t="shared" si="0"/>
      </c>
      <c r="H68" s="29"/>
      <c r="I68" s="29"/>
      <c r="J68" s="29"/>
      <c r="K68" s="29"/>
      <c r="L68" s="29"/>
      <c r="M68" s="29"/>
      <c r="N68" s="30"/>
      <c r="O68" s="30">
        <f t="shared" si="1"/>
      </c>
      <c r="P68" s="26">
        <f t="shared" si="2"/>
        <v>0</v>
      </c>
      <c r="X68" s="26">
        <f t="shared" si="3"/>
      </c>
      <c r="AE68" s="45" t="e">
        <f>IF(X98=38,11,)</f>
        <v>#NUM!</v>
      </c>
      <c r="AF68" s="45" t="e">
        <f>IF(P100=38,11,)</f>
        <v>#NUM!</v>
      </c>
      <c r="AH68" s="120">
        <v>1</v>
      </c>
      <c r="AI68" s="120"/>
      <c r="AJ68" s="121" t="e">
        <f t="shared" si="13"/>
        <v>#VALUE!</v>
      </c>
      <c r="AK68" s="124"/>
      <c r="AL68" s="121" t="e">
        <f t="shared" si="14"/>
        <v>#VALUE!</v>
      </c>
      <c r="AM68" s="121"/>
      <c r="AN68" s="121">
        <f t="shared" si="4"/>
      </c>
      <c r="AO68" s="121">
        <f t="shared" si="4"/>
        <v>0</v>
      </c>
      <c r="AP68" s="121">
        <f t="shared" si="4"/>
      </c>
      <c r="AQ68" s="121">
        <f t="shared" si="4"/>
        <v>0</v>
      </c>
    </row>
    <row r="69" spans="2:43" s="26" customFormat="1" ht="13.5" customHeight="1">
      <c r="B69" s="26" t="s">
        <v>124</v>
      </c>
      <c r="D69" s="26">
        <f>IF(E69&gt;9,3,"")</f>
      </c>
      <c r="E69" s="27"/>
      <c r="F69" s="28"/>
      <c r="G69" s="29">
        <f t="shared" si="0"/>
      </c>
      <c r="H69" s="29"/>
      <c r="I69" s="29"/>
      <c r="J69" s="29"/>
      <c r="K69" s="29"/>
      <c r="L69" s="29"/>
      <c r="M69" s="29"/>
      <c r="N69" s="30"/>
      <c r="O69" s="30">
        <f t="shared" si="1"/>
      </c>
      <c r="P69" s="26">
        <f t="shared" si="2"/>
        <v>0</v>
      </c>
      <c r="R69" s="33" t="s">
        <v>44</v>
      </c>
      <c r="S69" s="34"/>
      <c r="T69" s="34"/>
      <c r="U69" s="34"/>
      <c r="V69" s="27"/>
      <c r="W69" s="40"/>
      <c r="X69" s="41">
        <f t="shared" si="3"/>
      </c>
      <c r="Y69" s="41"/>
      <c r="Z69" s="41"/>
      <c r="AA69" s="41"/>
      <c r="AB69" s="41"/>
      <c r="AC69" s="41"/>
      <c r="AD69" s="41"/>
      <c r="AE69" s="45" t="e">
        <f>IF(X98=39,11,)</f>
        <v>#NUM!</v>
      </c>
      <c r="AF69" s="45" t="e">
        <f>IF(P100=39,11,)</f>
        <v>#NUM!</v>
      </c>
      <c r="AH69" s="120">
        <v>0</v>
      </c>
      <c r="AI69" s="120"/>
      <c r="AJ69" s="121" t="e">
        <f t="shared" si="13"/>
        <v>#VALUE!</v>
      </c>
      <c r="AK69" s="124"/>
      <c r="AL69" s="121" t="e">
        <f t="shared" si="14"/>
        <v>#VALUE!</v>
      </c>
      <c r="AM69" s="121"/>
      <c r="AN69" s="121">
        <f t="shared" si="4"/>
      </c>
      <c r="AO69" s="121">
        <f t="shared" si="4"/>
        <v>0</v>
      </c>
      <c r="AP69" s="121">
        <f t="shared" si="4"/>
      </c>
      <c r="AQ69" s="121">
        <f t="shared" si="4"/>
        <v>0</v>
      </c>
    </row>
    <row r="70" spans="2:43" s="26" customFormat="1" ht="13.5" customHeight="1">
      <c r="B70" s="26" t="s">
        <v>125</v>
      </c>
      <c r="D70" s="26">
        <f>IF(E70&gt;2,6,"")</f>
      </c>
      <c r="E70" s="27"/>
      <c r="F70" s="28"/>
      <c r="G70" s="29">
        <f t="shared" si="0"/>
      </c>
      <c r="H70" s="29"/>
      <c r="I70" s="29"/>
      <c r="J70" s="29"/>
      <c r="K70" s="29"/>
      <c r="L70" s="29"/>
      <c r="M70" s="29"/>
      <c r="N70" s="30"/>
      <c r="O70" s="30">
        <f t="shared" si="1"/>
      </c>
      <c r="P70" s="26">
        <f t="shared" si="2"/>
        <v>0</v>
      </c>
      <c r="R70" s="24" t="s">
        <v>45</v>
      </c>
      <c r="W70" s="109"/>
      <c r="X70" s="109">
        <f t="shared" si="3"/>
      </c>
      <c r="Y70" s="109"/>
      <c r="Z70" s="109"/>
      <c r="AA70" s="109"/>
      <c r="AB70" s="109"/>
      <c r="AC70" s="109"/>
      <c r="AD70" s="109"/>
      <c r="AE70" s="45" t="e">
        <f>IF(X98=40,11,)</f>
        <v>#NUM!</v>
      </c>
      <c r="AF70" s="45" t="e">
        <f>IF(P100=40,11,)</f>
        <v>#NUM!</v>
      </c>
      <c r="AH70" s="120">
        <v>0</v>
      </c>
      <c r="AI70" s="120"/>
      <c r="AJ70" s="121" t="e">
        <f t="shared" si="13"/>
        <v>#VALUE!</v>
      </c>
      <c r="AK70" s="124"/>
      <c r="AL70" s="121" t="e">
        <f t="shared" si="14"/>
        <v>#VALUE!</v>
      </c>
      <c r="AM70" s="121"/>
      <c r="AN70" s="121">
        <f t="shared" si="4"/>
      </c>
      <c r="AO70" s="121">
        <f t="shared" si="4"/>
        <v>0</v>
      </c>
      <c r="AP70" s="121">
        <f t="shared" si="4"/>
      </c>
      <c r="AQ70" s="121">
        <f t="shared" si="4"/>
        <v>0</v>
      </c>
    </row>
    <row r="71" spans="2:43" s="26" customFormat="1" ht="13.5" customHeight="1">
      <c r="B71" s="26" t="s">
        <v>126</v>
      </c>
      <c r="D71" s="26">
        <f>IF(E71&gt;2,5,"")</f>
      </c>
      <c r="E71" s="27"/>
      <c r="F71" s="28"/>
      <c r="G71" s="29">
        <f t="shared" si="0"/>
      </c>
      <c r="H71" s="29"/>
      <c r="I71" s="29"/>
      <c r="J71" s="29"/>
      <c r="K71" s="29"/>
      <c r="L71" s="29"/>
      <c r="M71" s="29"/>
      <c r="N71" s="30"/>
      <c r="O71" s="30">
        <f t="shared" si="1"/>
      </c>
      <c r="P71" s="26">
        <f t="shared" si="2"/>
        <v>0</v>
      </c>
      <c r="S71" s="26" t="s">
        <v>166</v>
      </c>
      <c r="V71" s="27"/>
      <c r="W71" s="28"/>
      <c r="X71" s="29">
        <f t="shared" si="3"/>
      </c>
      <c r="Y71" s="29"/>
      <c r="Z71" s="29"/>
      <c r="AA71" s="29"/>
      <c r="AB71" s="29"/>
      <c r="AC71" s="29"/>
      <c r="AD71" s="29"/>
      <c r="AE71" s="45" t="e">
        <f>IF(X98=41,12,)</f>
        <v>#NUM!</v>
      </c>
      <c r="AF71" s="45" t="e">
        <f>IF(P100=41,12,)</f>
        <v>#NUM!</v>
      </c>
      <c r="AH71" s="120">
        <v>1</v>
      </c>
      <c r="AI71" s="120"/>
      <c r="AJ71" s="121" t="e">
        <f t="shared" si="13"/>
        <v>#VALUE!</v>
      </c>
      <c r="AK71" s="124"/>
      <c r="AL71" s="121" t="e">
        <f t="shared" si="14"/>
        <v>#VALUE!</v>
      </c>
      <c r="AM71" s="121"/>
      <c r="AN71" s="121">
        <f t="shared" si="4"/>
      </c>
      <c r="AO71" s="121">
        <f t="shared" si="4"/>
        <v>0</v>
      </c>
      <c r="AP71" s="121">
        <f t="shared" si="4"/>
      </c>
      <c r="AQ71" s="121">
        <f t="shared" si="4"/>
        <v>0</v>
      </c>
    </row>
    <row r="72" spans="2:43" s="26" customFormat="1" ht="13.5" customHeight="1">
      <c r="B72" s="26" t="s">
        <v>127</v>
      </c>
      <c r="D72" s="26">
        <f>IF(E72&gt;2,6,"")</f>
      </c>
      <c r="E72" s="27"/>
      <c r="F72" s="28"/>
      <c r="G72" s="29">
        <f t="shared" si="0"/>
      </c>
      <c r="H72" s="29"/>
      <c r="I72" s="29"/>
      <c r="J72" s="29"/>
      <c r="K72" s="29"/>
      <c r="L72" s="29"/>
      <c r="M72" s="29"/>
      <c r="N72" s="30"/>
      <c r="O72" s="30">
        <f t="shared" si="1"/>
      </c>
      <c r="P72" s="26">
        <f t="shared" si="2"/>
        <v>0</v>
      </c>
      <c r="S72" s="26" t="s">
        <v>47</v>
      </c>
      <c r="V72" s="27"/>
      <c r="W72" s="28"/>
      <c r="X72" s="29">
        <f t="shared" si="3"/>
      </c>
      <c r="Y72" s="29"/>
      <c r="Z72" s="29"/>
      <c r="AA72" s="29"/>
      <c r="AB72" s="29"/>
      <c r="AC72" s="29"/>
      <c r="AD72" s="29"/>
      <c r="AE72" s="45" t="e">
        <f>IF(X98=42,12,)</f>
        <v>#NUM!</v>
      </c>
      <c r="AF72" s="45" t="e">
        <f>IF(P100=42,12,)</f>
        <v>#NUM!</v>
      </c>
      <c r="AG72" s="45"/>
      <c r="AH72" s="120">
        <v>0</v>
      </c>
      <c r="AI72" s="120">
        <v>1</v>
      </c>
      <c r="AJ72" s="121" t="e">
        <f t="shared" si="13"/>
        <v>#VALUE!</v>
      </c>
      <c r="AK72" s="121" t="e">
        <f>LOG(4*X72+1)*AI72</f>
        <v>#VALUE!</v>
      </c>
      <c r="AL72" s="121" t="e">
        <f t="shared" si="14"/>
        <v>#VALUE!</v>
      </c>
      <c r="AM72" s="121" t="e">
        <f>LOG(4*X72+1)</f>
        <v>#VALUE!</v>
      </c>
      <c r="AN72" s="121">
        <f t="shared" si="4"/>
      </c>
      <c r="AO72" s="121">
        <f t="shared" si="4"/>
      </c>
      <c r="AP72" s="121">
        <f t="shared" si="4"/>
      </c>
      <c r="AQ72" s="121">
        <f t="shared" si="4"/>
      </c>
    </row>
    <row r="73" spans="2:43" s="26" customFormat="1" ht="13.5" customHeight="1">
      <c r="B73" s="26" t="s">
        <v>128</v>
      </c>
      <c r="E73" s="27"/>
      <c r="F73" s="28"/>
      <c r="G73" s="29">
        <f t="shared" si="0"/>
      </c>
      <c r="H73" s="29"/>
      <c r="I73" s="29"/>
      <c r="J73" s="29"/>
      <c r="K73" s="29"/>
      <c r="L73" s="29"/>
      <c r="M73" s="29"/>
      <c r="N73" s="30"/>
      <c r="O73" s="30">
        <f t="shared" si="1"/>
        <v>0</v>
      </c>
      <c r="P73" s="26">
        <f t="shared" si="2"/>
        <v>0</v>
      </c>
      <c r="S73" s="26" t="s">
        <v>49</v>
      </c>
      <c r="V73" s="27"/>
      <c r="W73" s="28"/>
      <c r="X73" s="29">
        <f t="shared" si="3"/>
      </c>
      <c r="Y73" s="29"/>
      <c r="Z73" s="29"/>
      <c r="AA73" s="29"/>
      <c r="AB73" s="29"/>
      <c r="AC73" s="29"/>
      <c r="AD73" s="29"/>
      <c r="AE73" s="45" t="e">
        <f>IF(X98=43,12,)</f>
        <v>#NUM!</v>
      </c>
      <c r="AF73" s="45" t="e">
        <f>IF(P100=43,12,)</f>
        <v>#NUM!</v>
      </c>
      <c r="AG73" s="45"/>
      <c r="AH73" s="120">
        <v>1</v>
      </c>
      <c r="AI73" s="120"/>
      <c r="AJ73" s="121" t="e">
        <f t="shared" si="13"/>
        <v>#VALUE!</v>
      </c>
      <c r="AK73" s="124"/>
      <c r="AL73" s="121" t="e">
        <f t="shared" si="14"/>
        <v>#VALUE!</v>
      </c>
      <c r="AM73" s="121"/>
      <c r="AN73" s="121">
        <f t="shared" si="4"/>
      </c>
      <c r="AO73" s="121">
        <f t="shared" si="4"/>
        <v>0</v>
      </c>
      <c r="AP73" s="121">
        <f t="shared" si="4"/>
      </c>
      <c r="AQ73" s="121">
        <f aca="true" t="shared" si="15" ref="AQ73:AQ94">IF(TYPE(AM73)=1,IF(AM73&gt;=0,AM73,""),"")</f>
        <v>0</v>
      </c>
    </row>
    <row r="74" spans="2:43" s="26" customFormat="1" ht="13.5" customHeight="1">
      <c r="B74" s="26" t="s">
        <v>129</v>
      </c>
      <c r="D74" s="26">
        <f>IF(E74&gt;2,5,"")</f>
      </c>
      <c r="E74" s="27"/>
      <c r="F74" s="28"/>
      <c r="G74" s="29">
        <f aca="true" t="shared" si="16" ref="G74:G94">IF(E74&lt;&gt;0,E74,"")</f>
      </c>
      <c r="H74" s="29"/>
      <c r="I74" s="29"/>
      <c r="J74" s="29"/>
      <c r="K74" s="29"/>
      <c r="L74" s="29"/>
      <c r="M74" s="29"/>
      <c r="N74" s="30"/>
      <c r="O74" s="30">
        <f aca="true" t="shared" si="17" ref="O74:O94">D74</f>
      </c>
      <c r="P74" s="26">
        <f aca="true" t="shared" si="18" ref="P74:P94">U74</f>
        <v>0</v>
      </c>
      <c r="S74" s="26" t="s">
        <v>50</v>
      </c>
      <c r="U74" s="24"/>
      <c r="V74" s="27"/>
      <c r="W74" s="28"/>
      <c r="X74" s="29">
        <f aca="true" t="shared" si="19" ref="X74:X94">IF(V74&lt;&gt;0,V74,"")</f>
      </c>
      <c r="Y74" s="29"/>
      <c r="Z74" s="29"/>
      <c r="AA74" s="29"/>
      <c r="AB74" s="29"/>
      <c r="AC74" s="29"/>
      <c r="AD74" s="29"/>
      <c r="AE74" s="45" t="e">
        <f>IF(X98=44,12,)</f>
        <v>#NUM!</v>
      </c>
      <c r="AF74" s="45" t="e">
        <f>IF(P100=44,12,)</f>
        <v>#NUM!</v>
      </c>
      <c r="AG74" s="45"/>
      <c r="AH74" s="120">
        <v>1</v>
      </c>
      <c r="AI74" s="120">
        <v>0</v>
      </c>
      <c r="AJ74" s="121" t="e">
        <f t="shared" si="13"/>
        <v>#VALUE!</v>
      </c>
      <c r="AK74" s="121" t="e">
        <f aca="true" t="shared" si="20" ref="AK74:AK81">LOG(4*X74+1)*AI74</f>
        <v>#VALUE!</v>
      </c>
      <c r="AL74" s="121" t="e">
        <f t="shared" si="14"/>
        <v>#VALUE!</v>
      </c>
      <c r="AM74" s="121" t="e">
        <f>LOG(4*X74+1)</f>
        <v>#VALUE!</v>
      </c>
      <c r="AN74" s="121">
        <f aca="true" t="shared" si="21" ref="AN74:AP94">IF(TYPE(AJ74)=1,IF(AJ74&gt;=0,AJ74,""),"")</f>
      </c>
      <c r="AO74" s="121">
        <f t="shared" si="21"/>
      </c>
      <c r="AP74" s="121">
        <f t="shared" si="21"/>
      </c>
      <c r="AQ74" s="121">
        <f t="shared" si="15"/>
      </c>
    </row>
    <row r="75" spans="2:43" s="26" customFormat="1" ht="13.5" customHeight="1">
      <c r="B75" s="26" t="s">
        <v>130</v>
      </c>
      <c r="D75" s="26">
        <f>IF(E75&gt;2,5,"")</f>
      </c>
      <c r="E75" s="27"/>
      <c r="F75" s="28"/>
      <c r="G75" s="29">
        <f t="shared" si="16"/>
      </c>
      <c r="H75" s="29"/>
      <c r="I75" s="29"/>
      <c r="J75" s="29"/>
      <c r="K75" s="29"/>
      <c r="L75" s="29"/>
      <c r="M75" s="29"/>
      <c r="N75" s="30"/>
      <c r="O75" s="30">
        <f t="shared" si="17"/>
      </c>
      <c r="P75" s="26">
        <f t="shared" si="18"/>
        <v>0</v>
      </c>
      <c r="S75" s="26" t="s">
        <v>51</v>
      </c>
      <c r="V75" s="27"/>
      <c r="W75" s="28"/>
      <c r="X75" s="29">
        <f t="shared" si="19"/>
      </c>
      <c r="Y75" s="29"/>
      <c r="Z75" s="29"/>
      <c r="AA75" s="29"/>
      <c r="AB75" s="29"/>
      <c r="AC75" s="29"/>
      <c r="AD75" s="29"/>
      <c r="AE75" s="45" t="e">
        <f>IF(X98=45,13,)</f>
        <v>#NUM!</v>
      </c>
      <c r="AF75" s="45" t="e">
        <f>IF(P100=45,13,)</f>
        <v>#NUM!</v>
      </c>
      <c r="AG75" s="45"/>
      <c r="AH75" s="120">
        <v>1</v>
      </c>
      <c r="AI75" s="120">
        <v>1</v>
      </c>
      <c r="AJ75" s="121" t="e">
        <f t="shared" si="13"/>
        <v>#VALUE!</v>
      </c>
      <c r="AK75" s="121" t="e">
        <f t="shared" si="20"/>
        <v>#VALUE!</v>
      </c>
      <c r="AL75" s="121" t="e">
        <f t="shared" si="14"/>
        <v>#VALUE!</v>
      </c>
      <c r="AM75" s="121" t="e">
        <f>LOG(4*X75+1)</f>
        <v>#VALUE!</v>
      </c>
      <c r="AN75" s="121">
        <f t="shared" si="21"/>
      </c>
      <c r="AO75" s="121">
        <f t="shared" si="21"/>
      </c>
      <c r="AP75" s="121">
        <f t="shared" si="21"/>
      </c>
      <c r="AQ75" s="121">
        <f t="shared" si="15"/>
      </c>
    </row>
    <row r="76" spans="1:43" s="26" customFormat="1" ht="13.5" customHeight="1">
      <c r="A76" s="34"/>
      <c r="B76" s="34" t="s">
        <v>131</v>
      </c>
      <c r="C76" s="34"/>
      <c r="D76" s="34"/>
      <c r="E76" s="42"/>
      <c r="F76" s="41"/>
      <c r="G76" s="41">
        <f t="shared" si="16"/>
      </c>
      <c r="H76" s="41"/>
      <c r="I76" s="41"/>
      <c r="J76" s="41"/>
      <c r="K76" s="41"/>
      <c r="L76" s="41"/>
      <c r="M76" s="41"/>
      <c r="N76" s="30"/>
      <c r="O76" s="30">
        <f t="shared" si="17"/>
        <v>0</v>
      </c>
      <c r="P76" s="26">
        <f t="shared" si="18"/>
      </c>
      <c r="Q76" s="24"/>
      <c r="S76" s="26" t="s">
        <v>52</v>
      </c>
      <c r="U76" s="26">
        <f>IF(V76&gt;9,1,"")</f>
      </c>
      <c r="V76" s="27"/>
      <c r="W76" s="28"/>
      <c r="X76" s="29">
        <f t="shared" si="19"/>
      </c>
      <c r="Y76" s="29"/>
      <c r="Z76" s="29"/>
      <c r="AA76" s="29"/>
      <c r="AB76" s="29"/>
      <c r="AC76" s="29"/>
      <c r="AD76" s="29"/>
      <c r="AE76" s="45" t="e">
        <f>IF(X98=46,13,)</f>
        <v>#NUM!</v>
      </c>
      <c r="AF76" s="45" t="e">
        <f>IF(P100=46,13,)</f>
        <v>#NUM!</v>
      </c>
      <c r="AG76" s="45"/>
      <c r="AH76" s="120">
        <v>1</v>
      </c>
      <c r="AI76" s="120">
        <v>0</v>
      </c>
      <c r="AJ76" s="121" t="e">
        <f t="shared" si="13"/>
        <v>#VALUE!</v>
      </c>
      <c r="AK76" s="121" t="e">
        <f t="shared" si="20"/>
        <v>#VALUE!</v>
      </c>
      <c r="AL76" s="121" t="e">
        <f t="shared" si="14"/>
        <v>#VALUE!</v>
      </c>
      <c r="AM76" s="121" t="e">
        <f>LOG(4*X76+1)</f>
        <v>#VALUE!</v>
      </c>
      <c r="AN76" s="121">
        <f t="shared" si="21"/>
      </c>
      <c r="AO76" s="121">
        <f t="shared" si="21"/>
      </c>
      <c r="AP76" s="121">
        <f t="shared" si="21"/>
      </c>
      <c r="AQ76" s="121">
        <f t="shared" si="15"/>
      </c>
    </row>
    <row r="77" spans="1:43" s="26" customFormat="1" ht="13.5" customHeight="1">
      <c r="A77" s="24" t="s">
        <v>132</v>
      </c>
      <c r="C77" s="24"/>
      <c r="D77" s="24"/>
      <c r="E77" s="39"/>
      <c r="F77" s="109"/>
      <c r="G77" s="109">
        <f t="shared" si="16"/>
      </c>
      <c r="H77" s="109"/>
      <c r="I77" s="109"/>
      <c r="J77" s="109"/>
      <c r="K77" s="109"/>
      <c r="L77" s="109"/>
      <c r="M77" s="110"/>
      <c r="N77" s="32"/>
      <c r="O77" s="30">
        <f t="shared" si="17"/>
        <v>0</v>
      </c>
      <c r="P77" s="26">
        <f t="shared" si="18"/>
        <v>0</v>
      </c>
      <c r="S77" s="26" t="s">
        <v>53</v>
      </c>
      <c r="V77" s="27"/>
      <c r="W77" s="28"/>
      <c r="X77" s="29">
        <f t="shared" si="19"/>
      </c>
      <c r="Y77" s="29"/>
      <c r="Z77" s="29"/>
      <c r="AA77" s="29"/>
      <c r="AB77" s="29"/>
      <c r="AC77" s="29"/>
      <c r="AD77" s="29"/>
      <c r="AE77" s="45" t="e">
        <f>IF(X98=47,13,)</f>
        <v>#NUM!</v>
      </c>
      <c r="AF77" s="45" t="e">
        <f>IF(P100=47,13,)</f>
        <v>#NUM!</v>
      </c>
      <c r="AG77" s="45"/>
      <c r="AH77" s="120"/>
      <c r="AI77" s="120"/>
      <c r="AJ77" s="121"/>
      <c r="AK77" s="121" t="e">
        <f t="shared" si="20"/>
        <v>#VALUE!</v>
      </c>
      <c r="AL77" s="124"/>
      <c r="AM77" s="121"/>
      <c r="AN77" s="121">
        <f t="shared" si="21"/>
        <v>0</v>
      </c>
      <c r="AO77" s="121">
        <f t="shared" si="21"/>
      </c>
      <c r="AP77" s="121">
        <f t="shared" si="21"/>
        <v>0</v>
      </c>
      <c r="AQ77" s="121">
        <f t="shared" si="15"/>
        <v>0</v>
      </c>
    </row>
    <row r="78" spans="1:43" s="24" customFormat="1" ht="13.5" customHeight="1">
      <c r="A78" s="26"/>
      <c r="B78" s="26" t="s">
        <v>133</v>
      </c>
      <c r="C78" s="26"/>
      <c r="D78" s="26"/>
      <c r="E78" s="27"/>
      <c r="F78" s="28"/>
      <c r="G78" s="29">
        <f t="shared" si="16"/>
      </c>
      <c r="H78" s="29"/>
      <c r="I78" s="29"/>
      <c r="J78" s="29"/>
      <c r="K78" s="29"/>
      <c r="L78" s="29"/>
      <c r="M78" s="29"/>
      <c r="N78" s="30"/>
      <c r="O78" s="30">
        <f t="shared" si="17"/>
        <v>0</v>
      </c>
      <c r="P78" s="26">
        <f t="shared" si="18"/>
        <v>0</v>
      </c>
      <c r="Q78" s="26"/>
      <c r="R78" s="26"/>
      <c r="S78" s="26" t="s">
        <v>153</v>
      </c>
      <c r="T78" s="26"/>
      <c r="U78" s="26"/>
      <c r="V78" s="27"/>
      <c r="W78" s="28"/>
      <c r="X78" s="29">
        <f t="shared" si="19"/>
      </c>
      <c r="Y78" s="29"/>
      <c r="Z78" s="29"/>
      <c r="AA78" s="29"/>
      <c r="AB78" s="29"/>
      <c r="AC78" s="29"/>
      <c r="AD78" s="29"/>
      <c r="AE78" s="45" t="e">
        <f>IF(X98=48,13,)</f>
        <v>#NUM!</v>
      </c>
      <c r="AF78" s="45" t="e">
        <f>IF(P100=48,13,)</f>
        <v>#NUM!</v>
      </c>
      <c r="AG78" s="45"/>
      <c r="AH78" s="120">
        <v>0</v>
      </c>
      <c r="AI78" s="120"/>
      <c r="AJ78" s="121" t="e">
        <f aca="true" t="shared" si="22" ref="AJ78:AJ86">LOG(4*G78+1)*AH78</f>
        <v>#VALUE!</v>
      </c>
      <c r="AK78" s="121" t="e">
        <f t="shared" si="20"/>
        <v>#VALUE!</v>
      </c>
      <c r="AL78" s="121" t="e">
        <f aca="true" t="shared" si="23" ref="AL78:AL86">LOG(4*G78+1)</f>
        <v>#VALUE!</v>
      </c>
      <c r="AM78" s="122"/>
      <c r="AN78" s="121">
        <f t="shared" si="21"/>
      </c>
      <c r="AO78" s="121">
        <f t="shared" si="21"/>
      </c>
      <c r="AP78" s="121">
        <f t="shared" si="21"/>
      </c>
      <c r="AQ78" s="121">
        <f t="shared" si="15"/>
        <v>0</v>
      </c>
    </row>
    <row r="79" spans="2:43" s="26" customFormat="1" ht="13.5" customHeight="1">
      <c r="B79" s="26" t="s">
        <v>134</v>
      </c>
      <c r="E79" s="27"/>
      <c r="F79" s="28"/>
      <c r="G79" s="29">
        <f t="shared" si="16"/>
      </c>
      <c r="H79" s="29"/>
      <c r="I79" s="29"/>
      <c r="J79" s="29"/>
      <c r="K79" s="29"/>
      <c r="L79" s="29"/>
      <c r="M79" s="29"/>
      <c r="N79" s="30"/>
      <c r="O79" s="30">
        <f t="shared" si="17"/>
        <v>0</v>
      </c>
      <c r="P79" s="26">
        <f t="shared" si="18"/>
        <v>0</v>
      </c>
      <c r="S79" s="26" t="s">
        <v>55</v>
      </c>
      <c r="V79" s="27"/>
      <c r="W79" s="28"/>
      <c r="X79" s="29">
        <f t="shared" si="19"/>
      </c>
      <c r="Y79" s="29"/>
      <c r="Z79" s="29"/>
      <c r="AA79" s="29"/>
      <c r="AB79" s="29"/>
      <c r="AC79" s="29"/>
      <c r="AD79" s="29"/>
      <c r="AE79" s="45" t="e">
        <f>IF(X98=49,13,)</f>
        <v>#NUM!</v>
      </c>
      <c r="AF79" s="45" t="e">
        <f>IF(P100=49,13,)</f>
        <v>#NUM!</v>
      </c>
      <c r="AG79" s="45"/>
      <c r="AH79" s="120">
        <v>1</v>
      </c>
      <c r="AI79" s="120">
        <v>1</v>
      </c>
      <c r="AJ79" s="121" t="e">
        <f t="shared" si="22"/>
        <v>#VALUE!</v>
      </c>
      <c r="AK79" s="121" t="e">
        <f t="shared" si="20"/>
        <v>#VALUE!</v>
      </c>
      <c r="AL79" s="121" t="e">
        <f t="shared" si="23"/>
        <v>#VALUE!</v>
      </c>
      <c r="AM79" s="121" t="e">
        <f>LOG(4*X79+1)</f>
        <v>#VALUE!</v>
      </c>
      <c r="AN79" s="121">
        <f t="shared" si="21"/>
      </c>
      <c r="AO79" s="121">
        <f t="shared" si="21"/>
      </c>
      <c r="AP79" s="121">
        <f t="shared" si="21"/>
      </c>
      <c r="AQ79" s="121">
        <f t="shared" si="15"/>
      </c>
    </row>
    <row r="80" spans="2:43" s="26" customFormat="1" ht="13.5" customHeight="1">
      <c r="B80" s="26" t="s">
        <v>135</v>
      </c>
      <c r="E80" s="27"/>
      <c r="F80" s="28"/>
      <c r="G80" s="29">
        <f t="shared" si="16"/>
      </c>
      <c r="H80" s="29"/>
      <c r="I80" s="29"/>
      <c r="J80" s="29"/>
      <c r="K80" s="29"/>
      <c r="L80" s="29"/>
      <c r="M80" s="29"/>
      <c r="N80" s="30"/>
      <c r="O80" s="30">
        <f t="shared" si="17"/>
        <v>0</v>
      </c>
      <c r="P80" s="26">
        <f t="shared" si="18"/>
        <v>0</v>
      </c>
      <c r="S80" s="26" t="s">
        <v>56</v>
      </c>
      <c r="T80" s="24"/>
      <c r="V80" s="27"/>
      <c r="W80" s="28"/>
      <c r="X80" s="29">
        <f t="shared" si="19"/>
      </c>
      <c r="Y80" s="29"/>
      <c r="Z80" s="29"/>
      <c r="AA80" s="29"/>
      <c r="AB80" s="29"/>
      <c r="AC80" s="29"/>
      <c r="AD80" s="29"/>
      <c r="AE80" s="45" t="e">
        <f>IF(X98&gt;49,13,)</f>
        <v>#NUM!</v>
      </c>
      <c r="AF80" s="45" t="e">
        <f>IF(P100&gt;49,13,)</f>
        <v>#NUM!</v>
      </c>
      <c r="AG80" s="45"/>
      <c r="AH80" s="120">
        <v>1</v>
      </c>
      <c r="AI80" s="120">
        <v>0</v>
      </c>
      <c r="AJ80" s="121" t="e">
        <f t="shared" si="22"/>
        <v>#VALUE!</v>
      </c>
      <c r="AK80" s="121" t="e">
        <f t="shared" si="20"/>
        <v>#VALUE!</v>
      </c>
      <c r="AL80" s="121" t="e">
        <f t="shared" si="23"/>
        <v>#VALUE!</v>
      </c>
      <c r="AM80" s="121" t="e">
        <f>LOG(4*X80+1)</f>
        <v>#VALUE!</v>
      </c>
      <c r="AN80" s="121">
        <f t="shared" si="21"/>
      </c>
      <c r="AO80" s="121">
        <f t="shared" si="21"/>
      </c>
      <c r="AP80" s="121">
        <f t="shared" si="21"/>
      </c>
      <c r="AQ80" s="121">
        <f t="shared" si="15"/>
      </c>
    </row>
    <row r="81" spans="2:43" s="26" customFormat="1" ht="13.5" customHeight="1">
      <c r="B81" s="26" t="s">
        <v>283</v>
      </c>
      <c r="E81" s="27"/>
      <c r="F81" s="28"/>
      <c r="G81" s="29">
        <f t="shared" si="16"/>
      </c>
      <c r="H81" s="29"/>
      <c r="I81" s="29"/>
      <c r="J81" s="29"/>
      <c r="K81" s="29"/>
      <c r="L81" s="29"/>
      <c r="M81" s="29"/>
      <c r="N81" s="30"/>
      <c r="O81" s="30">
        <f t="shared" si="17"/>
        <v>0</v>
      </c>
      <c r="P81" s="26">
        <f t="shared" si="18"/>
        <v>0</v>
      </c>
      <c r="S81" s="26" t="s">
        <v>58</v>
      </c>
      <c r="V81" s="27"/>
      <c r="W81" s="28"/>
      <c r="X81" s="29">
        <f t="shared" si="19"/>
      </c>
      <c r="Y81" s="29"/>
      <c r="Z81" s="29"/>
      <c r="AA81" s="29"/>
      <c r="AB81" s="29"/>
      <c r="AC81" s="29"/>
      <c r="AD81" s="29"/>
      <c r="AE81" s="45"/>
      <c r="AF81" s="45"/>
      <c r="AG81" s="45"/>
      <c r="AH81" s="120">
        <v>0</v>
      </c>
      <c r="AI81" s="120">
        <v>0</v>
      </c>
      <c r="AJ81" s="121" t="e">
        <f t="shared" si="22"/>
        <v>#VALUE!</v>
      </c>
      <c r="AK81" s="121" t="e">
        <f t="shared" si="20"/>
        <v>#VALUE!</v>
      </c>
      <c r="AL81" s="121" t="e">
        <f t="shared" si="23"/>
        <v>#VALUE!</v>
      </c>
      <c r="AM81" s="121" t="e">
        <f>LOG(4*X81+1)</f>
        <v>#VALUE!</v>
      </c>
      <c r="AN81" s="121">
        <f t="shared" si="21"/>
      </c>
      <c r="AO81" s="121">
        <f t="shared" si="21"/>
      </c>
      <c r="AP81" s="121">
        <f t="shared" si="21"/>
      </c>
      <c r="AQ81" s="121">
        <f t="shared" si="15"/>
      </c>
    </row>
    <row r="82" spans="2:43" s="26" customFormat="1" ht="13.5" customHeight="1">
      <c r="B82" s="26" t="s">
        <v>136</v>
      </c>
      <c r="E82" s="27"/>
      <c r="F82" s="28"/>
      <c r="G82" s="29">
        <f t="shared" si="16"/>
      </c>
      <c r="H82" s="29"/>
      <c r="I82" s="29"/>
      <c r="J82" s="29"/>
      <c r="K82" s="29"/>
      <c r="L82" s="29"/>
      <c r="M82" s="29"/>
      <c r="N82" s="30"/>
      <c r="O82" s="30">
        <f t="shared" si="17"/>
        <v>0</v>
      </c>
      <c r="P82" s="26">
        <f t="shared" si="18"/>
        <v>0</v>
      </c>
      <c r="S82" s="26" t="s">
        <v>59</v>
      </c>
      <c r="V82" s="27"/>
      <c r="W82" s="28"/>
      <c r="X82" s="29">
        <f t="shared" si="19"/>
      </c>
      <c r="Y82" s="29"/>
      <c r="Z82" s="29"/>
      <c r="AA82" s="29"/>
      <c r="AB82" s="29"/>
      <c r="AC82" s="29"/>
      <c r="AD82" s="29"/>
      <c r="AE82" s="103" t="e">
        <f>LARGE(AE31:AE80,1)</f>
        <v>#NUM!</v>
      </c>
      <c r="AF82" s="103" t="e">
        <f>LARGE(AF31:AF80,1)</f>
        <v>#NUM!</v>
      </c>
      <c r="AG82" s="45"/>
      <c r="AH82" s="120">
        <v>0</v>
      </c>
      <c r="AI82" s="120"/>
      <c r="AJ82" s="121" t="e">
        <f t="shared" si="22"/>
        <v>#VALUE!</v>
      </c>
      <c r="AK82" s="124"/>
      <c r="AL82" s="121" t="e">
        <f t="shared" si="23"/>
        <v>#VALUE!</v>
      </c>
      <c r="AM82" s="121"/>
      <c r="AN82" s="121">
        <f t="shared" si="21"/>
      </c>
      <c r="AO82" s="121">
        <f t="shared" si="21"/>
        <v>0</v>
      </c>
      <c r="AP82" s="121">
        <f t="shared" si="21"/>
      </c>
      <c r="AQ82" s="121">
        <f t="shared" si="15"/>
        <v>0</v>
      </c>
    </row>
    <row r="83" spans="2:43" s="26" customFormat="1" ht="13.5" customHeight="1">
      <c r="B83" s="26" t="s">
        <v>137</v>
      </c>
      <c r="E83" s="27"/>
      <c r="F83" s="28"/>
      <c r="G83" s="29">
        <f t="shared" si="16"/>
      </c>
      <c r="H83" s="29"/>
      <c r="I83" s="29"/>
      <c r="J83" s="29"/>
      <c r="K83" s="29"/>
      <c r="L83" s="29"/>
      <c r="M83" s="29"/>
      <c r="N83" s="30"/>
      <c r="O83" s="30">
        <f t="shared" si="17"/>
        <v>0</v>
      </c>
      <c r="P83" s="26">
        <f t="shared" si="18"/>
        <v>0</v>
      </c>
      <c r="S83" s="26" t="s">
        <v>298</v>
      </c>
      <c r="V83" s="27"/>
      <c r="W83" s="28"/>
      <c r="X83" s="29">
        <f t="shared" si="19"/>
      </c>
      <c r="Y83" s="29"/>
      <c r="Z83" s="29"/>
      <c r="AA83" s="29"/>
      <c r="AB83" s="29"/>
      <c r="AC83" s="29"/>
      <c r="AD83" s="29"/>
      <c r="AG83" s="45"/>
      <c r="AH83" s="120">
        <v>0</v>
      </c>
      <c r="AI83" s="120">
        <v>0</v>
      </c>
      <c r="AJ83" s="121" t="e">
        <f t="shared" si="22"/>
        <v>#VALUE!</v>
      </c>
      <c r="AK83" s="121" t="e">
        <f>LOG(4*X83+1)*AI83</f>
        <v>#VALUE!</v>
      </c>
      <c r="AL83" s="121" t="e">
        <f t="shared" si="23"/>
        <v>#VALUE!</v>
      </c>
      <c r="AM83" s="121" t="e">
        <f>LOG(4*X83+1)</f>
        <v>#VALUE!</v>
      </c>
      <c r="AN83" s="121">
        <f t="shared" si="21"/>
      </c>
      <c r="AO83" s="121">
        <f t="shared" si="21"/>
      </c>
      <c r="AP83" s="121">
        <f t="shared" si="21"/>
      </c>
      <c r="AQ83" s="121">
        <f t="shared" si="15"/>
      </c>
    </row>
    <row r="84" spans="2:43" s="26" customFormat="1" ht="13.5" customHeight="1">
      <c r="B84" s="26" t="s">
        <v>138</v>
      </c>
      <c r="E84" s="27"/>
      <c r="F84" s="28"/>
      <c r="G84" s="29">
        <f t="shared" si="16"/>
      </c>
      <c r="H84" s="29"/>
      <c r="I84" s="29"/>
      <c r="J84" s="29"/>
      <c r="K84" s="29"/>
      <c r="L84" s="29"/>
      <c r="M84" s="29"/>
      <c r="N84" s="30"/>
      <c r="O84" s="30">
        <f t="shared" si="17"/>
        <v>0</v>
      </c>
      <c r="P84" s="26">
        <f t="shared" si="18"/>
        <v>0</v>
      </c>
      <c r="S84" s="26" t="s">
        <v>61</v>
      </c>
      <c r="V84" s="27"/>
      <c r="W84" s="28"/>
      <c r="X84" s="29">
        <f t="shared" si="19"/>
      </c>
      <c r="Y84" s="29"/>
      <c r="Z84" s="29"/>
      <c r="AA84" s="29"/>
      <c r="AB84" s="29"/>
      <c r="AC84" s="29"/>
      <c r="AD84" s="29"/>
      <c r="AE84" s="100" t="e">
        <f>-0.08527134+0.08527134*AE82</f>
        <v>#NUM!</v>
      </c>
      <c r="AF84" s="100" t="e">
        <f>-0.08527134+0.08527134*AF82</f>
        <v>#NUM!</v>
      </c>
      <c r="AG84" s="101" t="s">
        <v>190</v>
      </c>
      <c r="AH84" s="120">
        <v>0</v>
      </c>
      <c r="AI84" s="120">
        <v>0</v>
      </c>
      <c r="AJ84" s="121" t="e">
        <f t="shared" si="22"/>
        <v>#VALUE!</v>
      </c>
      <c r="AK84" s="121" t="e">
        <f>LOG(4*X84+1)*AI84</f>
        <v>#VALUE!</v>
      </c>
      <c r="AL84" s="121" t="e">
        <f t="shared" si="23"/>
        <v>#VALUE!</v>
      </c>
      <c r="AM84" s="121" t="e">
        <f>LOG(4*X84+1)</f>
        <v>#VALUE!</v>
      </c>
      <c r="AN84" s="121">
        <f t="shared" si="21"/>
      </c>
      <c r="AO84" s="121">
        <f t="shared" si="21"/>
      </c>
      <c r="AP84" s="121">
        <f t="shared" si="21"/>
      </c>
      <c r="AQ84" s="121">
        <f t="shared" si="15"/>
      </c>
    </row>
    <row r="85" spans="2:43" s="26" customFormat="1" ht="13.5" customHeight="1">
      <c r="B85" s="26" t="s">
        <v>139</v>
      </c>
      <c r="E85" s="27"/>
      <c r="F85" s="28"/>
      <c r="G85" s="29">
        <f t="shared" si="16"/>
      </c>
      <c r="H85" s="29"/>
      <c r="I85" s="29"/>
      <c r="J85" s="29"/>
      <c r="K85" s="29"/>
      <c r="L85" s="29"/>
      <c r="M85" s="29"/>
      <c r="N85" s="30"/>
      <c r="O85" s="30">
        <f t="shared" si="17"/>
        <v>0</v>
      </c>
      <c r="P85" s="26">
        <f t="shared" si="18"/>
        <v>0</v>
      </c>
      <c r="S85" s="26" t="s">
        <v>62</v>
      </c>
      <c r="V85" s="27"/>
      <c r="W85" s="28"/>
      <c r="X85" s="29">
        <f t="shared" si="19"/>
      </c>
      <c r="Y85" s="29"/>
      <c r="Z85" s="29"/>
      <c r="AA85" s="29"/>
      <c r="AB85" s="29"/>
      <c r="AC85" s="29"/>
      <c r="AD85" s="29"/>
      <c r="AE85" s="99" t="e">
        <f>IF(AE84&gt;1,"1",AE84)</f>
        <v>#NUM!</v>
      </c>
      <c r="AF85" s="99" t="e">
        <f>IF(AF84&gt;1,"1",AF84)</f>
        <v>#NUM!</v>
      </c>
      <c r="AH85" s="120">
        <v>0</v>
      </c>
      <c r="AI85" s="120">
        <v>0</v>
      </c>
      <c r="AJ85" s="121" t="e">
        <f t="shared" si="22"/>
        <v>#VALUE!</v>
      </c>
      <c r="AK85" s="121" t="e">
        <f>LOG(4*X85+1)*AI85</f>
        <v>#VALUE!</v>
      </c>
      <c r="AL85" s="121" t="e">
        <f t="shared" si="23"/>
        <v>#VALUE!</v>
      </c>
      <c r="AM85" s="121" t="e">
        <f>LOG(4*X85+1)</f>
        <v>#VALUE!</v>
      </c>
      <c r="AN85" s="121">
        <f t="shared" si="21"/>
      </c>
      <c r="AO85" s="121">
        <f t="shared" si="21"/>
      </c>
      <c r="AP85" s="121">
        <f t="shared" si="21"/>
      </c>
      <c r="AQ85" s="121">
        <f t="shared" si="15"/>
      </c>
    </row>
    <row r="86" spans="1:43" s="26" customFormat="1" ht="13.5" customHeight="1">
      <c r="A86" s="34"/>
      <c r="B86" s="34" t="s">
        <v>140</v>
      </c>
      <c r="C86" s="34"/>
      <c r="D86" s="34"/>
      <c r="E86" s="42"/>
      <c r="F86" s="41"/>
      <c r="G86" s="41">
        <f t="shared" si="16"/>
      </c>
      <c r="H86" s="41"/>
      <c r="I86" s="41"/>
      <c r="J86" s="41"/>
      <c r="K86" s="41"/>
      <c r="L86" s="41"/>
      <c r="M86" s="41"/>
      <c r="N86" s="30"/>
      <c r="O86" s="30">
        <f t="shared" si="17"/>
        <v>0</v>
      </c>
      <c r="P86" s="26">
        <f t="shared" si="18"/>
        <v>0</v>
      </c>
      <c r="S86" s="26" t="s">
        <v>64</v>
      </c>
      <c r="V86" s="27"/>
      <c r="W86" s="28"/>
      <c r="X86" s="29">
        <f t="shared" si="19"/>
      </c>
      <c r="Y86" s="29"/>
      <c r="Z86" s="29"/>
      <c r="AA86" s="29"/>
      <c r="AB86" s="29"/>
      <c r="AC86" s="29"/>
      <c r="AD86" s="29"/>
      <c r="AE86" s="99" t="e">
        <f>IF(AE84&lt;0,"0",AE84)</f>
        <v>#NUM!</v>
      </c>
      <c r="AF86" s="99" t="e">
        <f>IF(AF84&lt;0,"0",AF84)</f>
        <v>#NUM!</v>
      </c>
      <c r="AH86" s="120">
        <v>0</v>
      </c>
      <c r="AI86" s="120">
        <v>0</v>
      </c>
      <c r="AJ86" s="121" t="e">
        <f t="shared" si="22"/>
        <v>#VALUE!</v>
      </c>
      <c r="AK86" s="121" t="e">
        <f>LOG(4*X86+1)*AI86</f>
        <v>#VALUE!</v>
      </c>
      <c r="AL86" s="121" t="e">
        <f t="shared" si="23"/>
        <v>#VALUE!</v>
      </c>
      <c r="AM86" s="121" t="e">
        <f>LOG(4*X86+1)</f>
        <v>#VALUE!</v>
      </c>
      <c r="AN86" s="121">
        <f t="shared" si="21"/>
      </c>
      <c r="AO86" s="121">
        <f t="shared" si="21"/>
      </c>
      <c r="AP86" s="121">
        <f t="shared" si="21"/>
      </c>
      <c r="AQ86" s="121">
        <f t="shared" si="15"/>
      </c>
    </row>
    <row r="87" spans="1:43" s="26" customFormat="1" ht="13.5" customHeight="1">
      <c r="A87" s="24" t="s">
        <v>141</v>
      </c>
      <c r="F87" s="109"/>
      <c r="G87" s="109">
        <f t="shared" si="16"/>
      </c>
      <c r="H87" s="109"/>
      <c r="I87" s="109"/>
      <c r="J87" s="109"/>
      <c r="K87" s="109"/>
      <c r="L87" s="109"/>
      <c r="M87" s="109"/>
      <c r="N87" s="30"/>
      <c r="O87" s="30">
        <f t="shared" si="17"/>
        <v>0</v>
      </c>
      <c r="P87" s="26">
        <f t="shared" si="18"/>
        <v>0</v>
      </c>
      <c r="S87" s="26" t="s">
        <v>299</v>
      </c>
      <c r="V87" s="27"/>
      <c r="W87" s="28"/>
      <c r="X87" s="29">
        <f t="shared" si="19"/>
      </c>
      <c r="Y87" s="29"/>
      <c r="Z87" s="29"/>
      <c r="AA87" s="29"/>
      <c r="AB87" s="29"/>
      <c r="AC87" s="29"/>
      <c r="AD87" s="29"/>
      <c r="AE87" s="97" t="e">
        <f>IF(AE85&gt;0,AE85,AE86)/1</f>
        <v>#NUM!</v>
      </c>
      <c r="AF87" s="97" t="e">
        <f>IF(AF85&gt;0,AF85,AF86)/1</f>
        <v>#NUM!</v>
      </c>
      <c r="AH87" s="120"/>
      <c r="AI87" s="120"/>
      <c r="AJ87" s="121"/>
      <c r="AK87" s="124"/>
      <c r="AL87" s="124"/>
      <c r="AM87" s="121"/>
      <c r="AN87" s="121">
        <f t="shared" si="21"/>
        <v>0</v>
      </c>
      <c r="AO87" s="121">
        <f t="shared" si="21"/>
        <v>0</v>
      </c>
      <c r="AP87" s="121">
        <f t="shared" si="21"/>
        <v>0</v>
      </c>
      <c r="AQ87" s="121">
        <f t="shared" si="15"/>
        <v>0</v>
      </c>
    </row>
    <row r="88" spans="1:43" s="26" customFormat="1" ht="13.5" customHeight="1">
      <c r="A88" s="24"/>
      <c r="B88" s="26" t="s">
        <v>142</v>
      </c>
      <c r="D88" s="26">
        <f>IF(E88&gt;2,8,"")</f>
      </c>
      <c r="E88" s="27"/>
      <c r="F88" s="28"/>
      <c r="G88" s="29">
        <f t="shared" si="16"/>
      </c>
      <c r="H88" s="29"/>
      <c r="I88" s="29"/>
      <c r="J88" s="29"/>
      <c r="K88" s="29"/>
      <c r="L88" s="29"/>
      <c r="M88" s="29"/>
      <c r="N88" s="30"/>
      <c r="O88" s="30">
        <f t="shared" si="17"/>
      </c>
      <c r="P88" s="26">
        <f t="shared" si="18"/>
        <v>0</v>
      </c>
      <c r="S88" s="26" t="s">
        <v>65</v>
      </c>
      <c r="V88" s="27"/>
      <c r="W88" s="28"/>
      <c r="X88" s="29">
        <f t="shared" si="19"/>
      </c>
      <c r="Y88" s="29"/>
      <c r="Z88" s="29"/>
      <c r="AA88" s="29"/>
      <c r="AB88" s="29"/>
      <c r="AC88" s="29"/>
      <c r="AD88" s="29"/>
      <c r="AH88" s="120">
        <v>1</v>
      </c>
      <c r="AI88" s="120"/>
      <c r="AJ88" s="121" t="e">
        <f aca="true" t="shared" si="24" ref="AJ88:AJ94">LOG(4*G88+1)*AH88</f>
        <v>#VALUE!</v>
      </c>
      <c r="AK88" s="124"/>
      <c r="AL88" s="121" t="e">
        <f aca="true" t="shared" si="25" ref="AL88:AL94">LOG(4*G88+1)</f>
        <v>#VALUE!</v>
      </c>
      <c r="AM88" s="121"/>
      <c r="AN88" s="121">
        <f t="shared" si="21"/>
      </c>
      <c r="AO88" s="121">
        <f t="shared" si="21"/>
        <v>0</v>
      </c>
      <c r="AP88" s="121">
        <f t="shared" si="21"/>
      </c>
      <c r="AQ88" s="121">
        <f t="shared" si="15"/>
        <v>0</v>
      </c>
    </row>
    <row r="89" spans="2:43" s="26" customFormat="1" ht="13.5" customHeight="1">
      <c r="B89" s="26" t="s">
        <v>143</v>
      </c>
      <c r="D89" s="26">
        <f>IF(E89&gt;2,9,"")</f>
      </c>
      <c r="E89" s="27"/>
      <c r="F89" s="28"/>
      <c r="G89" s="29">
        <f t="shared" si="16"/>
      </c>
      <c r="H89" s="29"/>
      <c r="I89" s="29"/>
      <c r="J89" s="29"/>
      <c r="K89" s="29"/>
      <c r="L89" s="29"/>
      <c r="M89" s="29"/>
      <c r="N89" s="30"/>
      <c r="O89" s="30">
        <f t="shared" si="17"/>
      </c>
      <c r="P89" s="26">
        <f t="shared" si="18"/>
        <v>0</v>
      </c>
      <c r="S89" s="26" t="s">
        <v>66</v>
      </c>
      <c r="V89" s="27"/>
      <c r="W89" s="28"/>
      <c r="X89" s="29">
        <f t="shared" si="19"/>
      </c>
      <c r="Y89" s="29"/>
      <c r="Z89" s="29"/>
      <c r="AA89" s="29"/>
      <c r="AB89" s="29"/>
      <c r="AC89" s="29"/>
      <c r="AD89" s="29"/>
      <c r="AH89" s="120">
        <v>1</v>
      </c>
      <c r="AI89" s="120">
        <v>0</v>
      </c>
      <c r="AJ89" s="121" t="e">
        <f t="shared" si="24"/>
        <v>#VALUE!</v>
      </c>
      <c r="AK89" s="121" t="e">
        <f>LOG(4*X89+1)*AI89</f>
        <v>#VALUE!</v>
      </c>
      <c r="AL89" s="121" t="e">
        <f t="shared" si="25"/>
        <v>#VALUE!</v>
      </c>
      <c r="AM89" s="121" t="e">
        <f>LOG(4*X89+1)</f>
        <v>#VALUE!</v>
      </c>
      <c r="AN89" s="121">
        <f t="shared" si="21"/>
      </c>
      <c r="AO89" s="121">
        <f t="shared" si="21"/>
      </c>
      <c r="AP89" s="121">
        <f t="shared" si="21"/>
      </c>
      <c r="AQ89" s="121">
        <f t="shared" si="15"/>
      </c>
    </row>
    <row r="90" spans="2:43" s="26" customFormat="1" ht="13.5" customHeight="1">
      <c r="B90" s="26" t="s">
        <v>144</v>
      </c>
      <c r="D90" s="26">
        <f>IF(E90&gt;2,6,"")</f>
      </c>
      <c r="E90" s="27"/>
      <c r="F90" s="28"/>
      <c r="G90" s="29">
        <f t="shared" si="16"/>
      </c>
      <c r="H90" s="29"/>
      <c r="I90" s="29"/>
      <c r="J90" s="29"/>
      <c r="K90" s="29"/>
      <c r="L90" s="29"/>
      <c r="M90" s="29"/>
      <c r="N90" s="30"/>
      <c r="O90" s="30">
        <f t="shared" si="17"/>
      </c>
      <c r="P90" s="26">
        <f t="shared" si="18"/>
        <v>0</v>
      </c>
      <c r="S90" s="26" t="s">
        <v>280</v>
      </c>
      <c r="V90" s="27"/>
      <c r="W90" s="28"/>
      <c r="X90" s="29">
        <f t="shared" si="19"/>
      </c>
      <c r="Y90" s="29"/>
      <c r="Z90" s="29"/>
      <c r="AA90" s="29"/>
      <c r="AB90" s="29"/>
      <c r="AC90" s="29"/>
      <c r="AD90" s="29"/>
      <c r="AE90" s="100">
        <f>-0.1392405+0.1392405*X99</f>
        <v>-0.1392405</v>
      </c>
      <c r="AF90" s="100">
        <f>-0.1392405+0.1392405*X100</f>
        <v>-0.1392405</v>
      </c>
      <c r="AG90" s="101" t="s">
        <v>191</v>
      </c>
      <c r="AH90" s="120">
        <v>1</v>
      </c>
      <c r="AI90" s="120">
        <v>0</v>
      </c>
      <c r="AJ90" s="121" t="e">
        <f t="shared" si="24"/>
        <v>#VALUE!</v>
      </c>
      <c r="AK90" s="121" t="e">
        <f>LOG(4*X90+1)*AI90</f>
        <v>#VALUE!</v>
      </c>
      <c r="AL90" s="121" t="e">
        <f t="shared" si="25"/>
        <v>#VALUE!</v>
      </c>
      <c r="AM90" s="121" t="e">
        <f>LOG(4*X90+1)</f>
        <v>#VALUE!</v>
      </c>
      <c r="AN90" s="121">
        <f t="shared" si="21"/>
      </c>
      <c r="AO90" s="121">
        <f t="shared" si="21"/>
      </c>
      <c r="AP90" s="121">
        <f t="shared" si="21"/>
      </c>
      <c r="AQ90" s="121">
        <f t="shared" si="15"/>
      </c>
    </row>
    <row r="91" spans="2:43" s="26" customFormat="1" ht="13.5" customHeight="1">
      <c r="B91" s="26" t="s">
        <v>145</v>
      </c>
      <c r="D91" s="26">
        <f>IF(E91&gt;2,5,"")</f>
      </c>
      <c r="E91" s="27"/>
      <c r="F91" s="28"/>
      <c r="G91" s="29">
        <f t="shared" si="16"/>
      </c>
      <c r="H91" s="29"/>
      <c r="I91" s="29"/>
      <c r="J91" s="29"/>
      <c r="K91" s="29"/>
      <c r="L91" s="29"/>
      <c r="M91" s="29"/>
      <c r="N91" s="30"/>
      <c r="O91" s="30">
        <f t="shared" si="17"/>
      </c>
      <c r="P91" s="26">
        <f t="shared" si="18"/>
        <v>0</v>
      </c>
      <c r="S91" s="26" t="s">
        <v>67</v>
      </c>
      <c r="V91" s="27"/>
      <c r="W91" s="28"/>
      <c r="X91" s="29">
        <f t="shared" si="19"/>
      </c>
      <c r="Y91" s="29"/>
      <c r="Z91" s="29"/>
      <c r="AA91" s="29"/>
      <c r="AB91" s="29"/>
      <c r="AC91" s="29"/>
      <c r="AD91" s="29"/>
      <c r="AE91" s="97">
        <f>IF(AE90&gt;1,"1",AE90)</f>
        <v>-0.1392405</v>
      </c>
      <c r="AF91" s="97">
        <f>IF(AF90&gt;1,"1",AF90)</f>
        <v>-0.1392405</v>
      </c>
      <c r="AH91" s="120">
        <v>0</v>
      </c>
      <c r="AI91" s="120">
        <v>0</v>
      </c>
      <c r="AJ91" s="121" t="e">
        <f t="shared" si="24"/>
        <v>#VALUE!</v>
      </c>
      <c r="AK91" s="121" t="e">
        <f>LOG(4*X91+1)*AI91</f>
        <v>#VALUE!</v>
      </c>
      <c r="AL91" s="121" t="e">
        <f t="shared" si="25"/>
        <v>#VALUE!</v>
      </c>
      <c r="AM91" s="121" t="e">
        <f>LOG(4*X91+1)</f>
        <v>#VALUE!</v>
      </c>
      <c r="AN91" s="121">
        <f t="shared" si="21"/>
      </c>
      <c r="AO91" s="121">
        <f t="shared" si="21"/>
      </c>
      <c r="AP91" s="121">
        <f t="shared" si="21"/>
      </c>
      <c r="AQ91" s="121">
        <f t="shared" si="15"/>
      </c>
    </row>
    <row r="92" spans="2:43" s="26" customFormat="1" ht="13.5" customHeight="1">
      <c r="B92" s="26" t="s">
        <v>146</v>
      </c>
      <c r="D92" s="26">
        <f>IF(E92&gt;2,9,"")</f>
      </c>
      <c r="E92" s="27"/>
      <c r="F92" s="28"/>
      <c r="G92" s="29">
        <f t="shared" si="16"/>
      </c>
      <c r="H92" s="29"/>
      <c r="I92" s="29"/>
      <c r="J92" s="29"/>
      <c r="K92" s="29"/>
      <c r="L92" s="29"/>
      <c r="M92" s="29"/>
      <c r="N92" s="30"/>
      <c r="O92" s="30">
        <f t="shared" si="17"/>
      </c>
      <c r="P92" s="26">
        <f t="shared" si="18"/>
        <v>0</v>
      </c>
      <c r="S92" s="26" t="s">
        <v>68</v>
      </c>
      <c r="V92" s="27"/>
      <c r="W92" s="28"/>
      <c r="X92" s="29">
        <f t="shared" si="19"/>
      </c>
      <c r="Y92" s="29"/>
      <c r="Z92" s="29"/>
      <c r="AA92" s="29"/>
      <c r="AB92" s="29"/>
      <c r="AC92" s="29"/>
      <c r="AD92" s="29"/>
      <c r="AE92" s="97" t="str">
        <f>IF(AE90&lt;0,"0",AE90)</f>
        <v>0</v>
      </c>
      <c r="AF92" s="97" t="str">
        <f>IF(AF90&lt;0,"0",AF90)</f>
        <v>0</v>
      </c>
      <c r="AG92" s="45"/>
      <c r="AH92" s="120">
        <v>1</v>
      </c>
      <c r="AI92" s="120">
        <v>0</v>
      </c>
      <c r="AJ92" s="121" t="e">
        <f t="shared" si="24"/>
        <v>#VALUE!</v>
      </c>
      <c r="AK92" s="121" t="e">
        <f>LOG(4*X92+1)*AI92</f>
        <v>#VALUE!</v>
      </c>
      <c r="AL92" s="121" t="e">
        <f t="shared" si="25"/>
        <v>#VALUE!</v>
      </c>
      <c r="AM92" s="121" t="e">
        <f>LOG(4*X92+1)</f>
        <v>#VALUE!</v>
      </c>
      <c r="AN92" s="121">
        <f t="shared" si="21"/>
      </c>
      <c r="AO92" s="121">
        <f t="shared" si="21"/>
      </c>
      <c r="AP92" s="121">
        <f t="shared" si="21"/>
      </c>
      <c r="AQ92" s="121">
        <f t="shared" si="15"/>
      </c>
    </row>
    <row r="93" spans="1:43" s="26" customFormat="1" ht="13.5" customHeight="1">
      <c r="A93" s="24"/>
      <c r="B93" s="26" t="s">
        <v>147</v>
      </c>
      <c r="D93" s="26">
        <f>IF(E93&gt;2,9,"")</f>
      </c>
      <c r="E93" s="27"/>
      <c r="F93" s="28"/>
      <c r="G93" s="29">
        <f t="shared" si="16"/>
      </c>
      <c r="H93" s="29"/>
      <c r="I93" s="29"/>
      <c r="J93" s="29"/>
      <c r="K93" s="29"/>
      <c r="L93" s="29"/>
      <c r="M93" s="29"/>
      <c r="N93" s="30"/>
      <c r="O93" s="30">
        <f t="shared" si="17"/>
      </c>
      <c r="P93" s="26">
        <f t="shared" si="18"/>
        <v>0</v>
      </c>
      <c r="S93" s="26" t="s">
        <v>69</v>
      </c>
      <c r="V93" s="27"/>
      <c r="W93" s="28"/>
      <c r="X93" s="29">
        <f t="shared" si="19"/>
      </c>
      <c r="Y93" s="29"/>
      <c r="Z93" s="29"/>
      <c r="AA93" s="29"/>
      <c r="AB93" s="29"/>
      <c r="AC93" s="29"/>
      <c r="AD93" s="29"/>
      <c r="AE93" s="97">
        <f>IF(AE91&gt;0,AE91,AE92)/1</f>
        <v>0</v>
      </c>
      <c r="AF93" s="97">
        <f>IF(AF91&gt;0,AF91,AF92)/1</f>
        <v>0</v>
      </c>
      <c r="AG93" s="45"/>
      <c r="AH93" s="120">
        <v>1</v>
      </c>
      <c r="AI93" s="120"/>
      <c r="AJ93" s="121" t="e">
        <f t="shared" si="24"/>
        <v>#VALUE!</v>
      </c>
      <c r="AK93" s="124"/>
      <c r="AL93" s="121" t="e">
        <f t="shared" si="25"/>
        <v>#VALUE!</v>
      </c>
      <c r="AM93" s="121"/>
      <c r="AN93" s="121">
        <f t="shared" si="21"/>
      </c>
      <c r="AO93" s="121">
        <f t="shared" si="21"/>
        <v>0</v>
      </c>
      <c r="AP93" s="121">
        <f t="shared" si="21"/>
      </c>
      <c r="AQ93" s="121">
        <f t="shared" si="15"/>
        <v>0</v>
      </c>
    </row>
    <row r="94" spans="1:43" ht="13.5" customHeight="1">
      <c r="A94" s="33"/>
      <c r="B94" s="34" t="s">
        <v>148</v>
      </c>
      <c r="C94" s="33"/>
      <c r="D94" s="44">
        <f>IF(E94&gt;2,7,"")</f>
      </c>
      <c r="E94" s="42"/>
      <c r="F94" s="41"/>
      <c r="G94" s="41">
        <f t="shared" si="16"/>
      </c>
      <c r="H94" s="41"/>
      <c r="I94" s="41"/>
      <c r="J94" s="41"/>
      <c r="K94" s="41"/>
      <c r="L94" s="41"/>
      <c r="M94" s="41"/>
      <c r="N94" s="30"/>
      <c r="O94" s="30">
        <f t="shared" si="17"/>
      </c>
      <c r="P94" s="26">
        <f t="shared" si="18"/>
        <v>0</v>
      </c>
      <c r="Q94" s="26"/>
      <c r="R94" s="34"/>
      <c r="S94" s="34" t="s">
        <v>70</v>
      </c>
      <c r="T94" s="34"/>
      <c r="U94" s="34"/>
      <c r="V94" s="27"/>
      <c r="W94" s="40"/>
      <c r="X94" s="41">
        <f t="shared" si="19"/>
      </c>
      <c r="Y94" s="41"/>
      <c r="Z94" s="41"/>
      <c r="AA94" s="41"/>
      <c r="AB94" s="41"/>
      <c r="AC94" s="41"/>
      <c r="AD94" s="41"/>
      <c r="AG94" s="71"/>
      <c r="AH94" s="120">
        <v>1</v>
      </c>
      <c r="AI94" s="120">
        <v>0</v>
      </c>
      <c r="AJ94" s="121" t="e">
        <f t="shared" si="24"/>
        <v>#VALUE!</v>
      </c>
      <c r="AK94" s="121" t="e">
        <f>LOG(4*X94+1)*AI94</f>
        <v>#VALUE!</v>
      </c>
      <c r="AL94" s="121" t="e">
        <f t="shared" si="25"/>
        <v>#VALUE!</v>
      </c>
      <c r="AM94" s="121" t="e">
        <f>LOG(4*X94+1)</f>
        <v>#VALUE!</v>
      </c>
      <c r="AN94" s="121">
        <f t="shared" si="21"/>
      </c>
      <c r="AO94" s="121">
        <f t="shared" si="21"/>
      </c>
      <c r="AP94" s="121">
        <f t="shared" si="21"/>
      </c>
      <c r="AQ94" s="121">
        <f t="shared" si="15"/>
      </c>
    </row>
    <row r="95" spans="1:21" ht="4.5" customHeight="1">
      <c r="A95" s="23"/>
      <c r="B95" s="46"/>
      <c r="E95" s="46"/>
      <c r="L95" s="47"/>
      <c r="N95" s="24"/>
      <c r="O95" s="24"/>
      <c r="P95" s="24"/>
      <c r="Q95" s="23"/>
      <c r="R95" s="46"/>
      <c r="S95" s="46"/>
      <c r="U95" s="46"/>
    </row>
    <row r="96" spans="1:43" s="71" customFormat="1" ht="15" customHeight="1" thickBot="1">
      <c r="A96" s="70"/>
      <c r="B96" s="112" t="s">
        <v>258</v>
      </c>
      <c r="C96" s="70"/>
      <c r="D96" s="70"/>
      <c r="E96" s="128"/>
      <c r="F96" s="129"/>
      <c r="G96" s="129"/>
      <c r="H96" s="129"/>
      <c r="I96" s="129"/>
      <c r="J96" s="129"/>
      <c r="K96" s="129"/>
      <c r="L96" s="130"/>
      <c r="M96" s="75"/>
      <c r="N96" s="70"/>
      <c r="O96" s="70"/>
      <c r="P96" s="70"/>
      <c r="Q96" s="70"/>
      <c r="R96" s="70"/>
      <c r="S96" s="87" t="s">
        <v>258</v>
      </c>
      <c r="T96" s="70"/>
      <c r="U96" s="70"/>
      <c r="V96" s="128"/>
      <c r="W96" s="129"/>
      <c r="X96" s="129"/>
      <c r="Y96" s="129"/>
      <c r="Z96" s="129"/>
      <c r="AA96" s="129"/>
      <c r="AB96" s="129"/>
      <c r="AC96" s="130"/>
      <c r="AD96" s="75"/>
      <c r="AH96" s="125"/>
      <c r="AI96" s="125"/>
      <c r="AJ96" s="125"/>
      <c r="AK96" s="125"/>
      <c r="AL96" s="125"/>
      <c r="AM96" s="103" t="s">
        <v>278</v>
      </c>
      <c r="AN96" s="125">
        <f>SUM(AN10:AO94)</f>
        <v>0</v>
      </c>
      <c r="AO96" s="103" t="s">
        <v>278</v>
      </c>
      <c r="AP96" s="125">
        <f>SUM(AP10:AQ94)</f>
        <v>0</v>
      </c>
      <c r="AQ96" s="125"/>
    </row>
    <row r="97" spans="1:43" s="26" customFormat="1" ht="17.25" customHeight="1" thickBot="1">
      <c r="A97" s="48"/>
      <c r="B97" s="114" t="s">
        <v>180</v>
      </c>
      <c r="C97" s="48"/>
      <c r="D97" s="48"/>
      <c r="E97" s="48"/>
      <c r="F97" s="48"/>
      <c r="G97" s="48"/>
      <c r="H97" s="48"/>
      <c r="I97" s="48"/>
      <c r="J97" s="48"/>
      <c r="K97" s="48"/>
      <c r="L97" s="85" t="s">
        <v>185</v>
      </c>
      <c r="M97" s="51" t="str">
        <f>IF(O97&gt;0,O97,"0")</f>
        <v>0</v>
      </c>
      <c r="N97" s="48"/>
      <c r="O97" s="48">
        <f>COUNT(G66:G76,G88:G94,X47:X67)</f>
        <v>0</v>
      </c>
      <c r="P97" s="48"/>
      <c r="Q97" s="48"/>
      <c r="R97" s="48"/>
      <c r="S97" s="49"/>
      <c r="T97" s="49" t="s">
        <v>292</v>
      </c>
      <c r="U97" s="50" t="s">
        <v>155</v>
      </c>
      <c r="V97" s="51" t="str">
        <f>IF(X97&gt;0,X97,"0")</f>
        <v>0</v>
      </c>
      <c r="W97" s="52"/>
      <c r="X97" s="48">
        <f>COUNT(X10:X94,G9:G94)</f>
        <v>0</v>
      </c>
      <c r="Y97" s="53" t="s">
        <v>181</v>
      </c>
      <c r="Z97" s="72"/>
      <c r="AA97" s="53"/>
      <c r="AB97" s="48"/>
      <c r="AC97" s="82" t="s">
        <v>294</v>
      </c>
      <c r="AD97" s="139">
        <f>IF(TYPE(AE87)=1,IF(AE87&gt;=0,AE87,""),"")</f>
      </c>
      <c r="AE97" s="96"/>
      <c r="AF97" s="96"/>
      <c r="AH97" s="45"/>
      <c r="AI97" s="45"/>
      <c r="AJ97" s="45"/>
      <c r="AM97" s="45"/>
      <c r="AN97" s="45"/>
      <c r="AO97" s="45"/>
      <c r="AP97" s="45"/>
      <c r="AQ97" s="45"/>
    </row>
    <row r="98" spans="1:43" s="26" customFormat="1" ht="17.25" customHeight="1" thickBot="1">
      <c r="A98" s="72"/>
      <c r="B98" s="113" t="s">
        <v>265</v>
      </c>
      <c r="C98" s="72"/>
      <c r="D98" s="72"/>
      <c r="E98" s="72"/>
      <c r="F98" s="72"/>
      <c r="G98" s="72"/>
      <c r="H98" s="72"/>
      <c r="I98" s="72"/>
      <c r="J98" s="72"/>
      <c r="K98" s="72"/>
      <c r="L98" s="86" t="s">
        <v>259</v>
      </c>
      <c r="M98" s="51" t="str">
        <f>IF(O98&gt;0,O98,"0")</f>
        <v>0</v>
      </c>
      <c r="N98" s="72"/>
      <c r="O98" s="72">
        <f>COUNTIF(N102:N115,"&gt;0")</f>
        <v>0</v>
      </c>
      <c r="P98" s="72"/>
      <c r="Q98" s="72"/>
      <c r="R98" s="72"/>
      <c r="S98" s="49"/>
      <c r="T98" s="49" t="s">
        <v>284</v>
      </c>
      <c r="U98" s="50" t="s">
        <v>155</v>
      </c>
      <c r="V98" s="51">
        <f>IF(TYPE(X98)=1,IF(X98&gt;0,X98,""),"")</f>
      </c>
      <c r="W98" s="78"/>
      <c r="X98" s="91" t="e">
        <f>ROUND(EXP(LN(V97)+AD7),0)</f>
        <v>#NUM!</v>
      </c>
      <c r="Y98" s="72" t="s">
        <v>184</v>
      </c>
      <c r="Z98" s="72"/>
      <c r="AA98" s="79"/>
      <c r="AB98" s="72"/>
      <c r="AC98" s="83" t="s">
        <v>295</v>
      </c>
      <c r="AD98" s="139">
        <f>IF(AE93&gt;0,AE93,"")</f>
      </c>
      <c r="AE98" s="96"/>
      <c r="AF98" s="97"/>
      <c r="AG98" s="90"/>
      <c r="AH98" s="45"/>
      <c r="AI98" s="45"/>
      <c r="AJ98" s="45"/>
      <c r="AM98" s="45"/>
      <c r="AN98" s="45"/>
      <c r="AO98" s="45"/>
      <c r="AP98" s="45"/>
      <c r="AQ98" s="45"/>
    </row>
    <row r="99" spans="1:33" ht="17.25" customHeight="1" thickBot="1">
      <c r="A99" s="54"/>
      <c r="B99" s="132">
        <f>Z5</f>
        <v>0</v>
      </c>
      <c r="C99" s="133"/>
      <c r="D99" s="133"/>
      <c r="E99" s="134"/>
      <c r="F99" s="56"/>
      <c r="G99" s="56"/>
      <c r="H99" s="56"/>
      <c r="I99" s="56"/>
      <c r="J99" s="56"/>
      <c r="K99" s="56"/>
      <c r="L99" s="115" t="s">
        <v>267</v>
      </c>
      <c r="M99" s="117" t="str">
        <f>IF(O99&gt;0,O99,"0")</f>
        <v>0</v>
      </c>
      <c r="N99" s="57"/>
      <c r="O99" s="56">
        <f>T104</f>
        <v>0</v>
      </c>
      <c r="P99" s="57"/>
      <c r="Q99" s="57"/>
      <c r="R99" s="57"/>
      <c r="S99" s="56"/>
      <c r="T99" s="58" t="s">
        <v>156</v>
      </c>
      <c r="U99" s="54" t="s">
        <v>155</v>
      </c>
      <c r="V99" s="51" t="str">
        <f>IF(X99&gt;0,X99,"0")</f>
        <v>0</v>
      </c>
      <c r="W99" s="60"/>
      <c r="X99" s="56">
        <f>LARGE(O9:P94,1)</f>
        <v>0</v>
      </c>
      <c r="Y99" s="55"/>
      <c r="Z99" s="56"/>
      <c r="AA99" s="55"/>
      <c r="AB99" s="56"/>
      <c r="AC99" s="80" t="s">
        <v>296</v>
      </c>
      <c r="AD99" s="139">
        <f>IF(TYPE(AE99)=1,IF(AE99&gt;=0,AE99,""),"")</f>
      </c>
      <c r="AE99" s="104" t="e">
        <f>(0.62*AD97)+(0.38*AE93)</f>
        <v>#VALUE!</v>
      </c>
      <c r="AF99" s="105" t="e">
        <f>(0.62*AF87)+(0.38*AF93)</f>
        <v>#NUM!</v>
      </c>
      <c r="AG99" s="106" t="s">
        <v>193</v>
      </c>
    </row>
    <row r="100" spans="2:43" s="26" customFormat="1" ht="17.25" customHeight="1">
      <c r="B100" s="84" t="s">
        <v>307</v>
      </c>
      <c r="O100" s="26">
        <f>V97-1</f>
        <v>-1</v>
      </c>
      <c r="P100" s="26" t="e">
        <f>ROUND(EXP(LN(O100)+AD7),0)</f>
        <v>#NUM!</v>
      </c>
      <c r="T100" s="77" t="s">
        <v>300</v>
      </c>
      <c r="U100" s="111" t="s">
        <v>155</v>
      </c>
      <c r="V100" s="124">
        <f>IF(TYPE(AF100)=1,IF(AF100&gt;=0,AF100,""),"")</f>
      </c>
      <c r="X100" s="26">
        <f>LARGE(O9:P94,2)</f>
        <v>0</v>
      </c>
      <c r="AC100" s="81" t="s">
        <v>263</v>
      </c>
      <c r="AD100" s="140">
        <f>IF(TYPE(AF99)=1,IF(AF99&gt;0,AF99,""),"")</f>
      </c>
      <c r="AE100" s="98"/>
      <c r="AF100" s="126" t="e">
        <f>AN96/AP96*100</f>
        <v>#DIV/0!</v>
      </c>
      <c r="AG100" s="127" t="s">
        <v>279</v>
      </c>
      <c r="AH100" s="45"/>
      <c r="AI100" s="45"/>
      <c r="AJ100" s="45"/>
      <c r="AM100" s="45"/>
      <c r="AN100" s="45"/>
      <c r="AO100" s="45"/>
      <c r="AP100" s="45"/>
      <c r="AQ100" s="45"/>
    </row>
    <row r="101" spans="2:43" s="26" customFormat="1" ht="17.25" customHeight="1" hidden="1">
      <c r="B101" s="84"/>
      <c r="E101" s="24" t="s">
        <v>303</v>
      </c>
      <c r="M101" s="108" t="s">
        <v>260</v>
      </c>
      <c r="S101" s="24" t="s">
        <v>269</v>
      </c>
      <c r="Z101" s="24" t="s">
        <v>187</v>
      </c>
      <c r="AC101" s="81"/>
      <c r="AH101" s="45"/>
      <c r="AI101" s="45"/>
      <c r="AJ101" s="45"/>
      <c r="AM101" s="45"/>
      <c r="AN101" s="45"/>
      <c r="AO101" s="45"/>
      <c r="AP101" s="45"/>
      <c r="AQ101" s="45"/>
    </row>
    <row r="102" spans="1:30" ht="12.75" hidden="1">
      <c r="A102" s="46"/>
      <c r="E102" s="107" t="s">
        <v>195</v>
      </c>
      <c r="M102" s="94"/>
      <c r="N102" s="94">
        <f>M10</f>
        <v>0</v>
      </c>
      <c r="S102" s="45" t="s">
        <v>271</v>
      </c>
      <c r="T102" s="94">
        <f>SUM(E9:E94)</f>
        <v>0</v>
      </c>
      <c r="V102"/>
      <c r="Z102" s="45">
        <v>1</v>
      </c>
      <c r="AD102" s="45">
        <v>0.98</v>
      </c>
    </row>
    <row r="103" spans="1:30" ht="12.75" hidden="1">
      <c r="A103" s="46"/>
      <c r="E103" s="107" t="s">
        <v>196</v>
      </c>
      <c r="M103" s="94"/>
      <c r="N103" s="94">
        <f>M15</f>
        <v>0</v>
      </c>
      <c r="S103" s="45" t="s">
        <v>272</v>
      </c>
      <c r="T103" s="94">
        <f>SUM(V10:V94)</f>
        <v>0</v>
      </c>
      <c r="V103"/>
      <c r="Z103" s="45">
        <v>2</v>
      </c>
      <c r="AD103" s="45">
        <v>0.98</v>
      </c>
    </row>
    <row r="104" spans="1:30" ht="12.75" hidden="1">
      <c r="A104" s="46"/>
      <c r="B104" s="61"/>
      <c r="C104" s="62"/>
      <c r="D104" s="62"/>
      <c r="E104" s="107" t="s">
        <v>197</v>
      </c>
      <c r="F104" s="62"/>
      <c r="G104" s="62"/>
      <c r="H104" s="62"/>
      <c r="I104" s="62"/>
      <c r="J104" s="62"/>
      <c r="K104" s="62"/>
      <c r="L104" s="62"/>
      <c r="M104" s="94"/>
      <c r="N104" s="95">
        <f>M27</f>
        <v>0</v>
      </c>
      <c r="S104" s="45" t="s">
        <v>273</v>
      </c>
      <c r="T104" s="45">
        <f>SUM(T102:T103)</f>
        <v>0</v>
      </c>
      <c r="V104"/>
      <c r="Z104" s="45">
        <v>3</v>
      </c>
      <c r="AD104" s="45">
        <v>0.85</v>
      </c>
    </row>
    <row r="105" spans="1:30" ht="12.75" hidden="1">
      <c r="A105" s="46"/>
      <c r="B105" s="61"/>
      <c r="C105" s="62"/>
      <c r="D105" s="62"/>
      <c r="E105" s="107" t="s">
        <v>198</v>
      </c>
      <c r="F105" s="62"/>
      <c r="G105" s="62"/>
      <c r="H105" s="62"/>
      <c r="I105" s="62"/>
      <c r="J105" s="62"/>
      <c r="K105" s="62"/>
      <c r="L105" s="62"/>
      <c r="M105" s="94"/>
      <c r="N105" s="95">
        <f>M34</f>
        <v>0</v>
      </c>
      <c r="V105"/>
      <c r="Z105" s="45">
        <v>4</v>
      </c>
      <c r="AD105" s="45">
        <v>0.78</v>
      </c>
    </row>
    <row r="106" spans="1:30" ht="12.75" hidden="1">
      <c r="A106" s="46"/>
      <c r="B106" s="61"/>
      <c r="C106" s="62"/>
      <c r="D106" s="62"/>
      <c r="E106" s="107" t="s">
        <v>199</v>
      </c>
      <c r="F106" s="62"/>
      <c r="G106" s="62"/>
      <c r="H106" s="62"/>
      <c r="I106" s="62"/>
      <c r="J106" s="62"/>
      <c r="K106" s="62"/>
      <c r="L106" s="62"/>
      <c r="M106" s="94"/>
      <c r="N106" s="95">
        <f>M37</f>
        <v>0</v>
      </c>
      <c r="O106" s="62"/>
      <c r="P106" s="62"/>
      <c r="V106"/>
      <c r="Z106" s="45">
        <v>5</v>
      </c>
      <c r="AD106" s="45">
        <v>0.79</v>
      </c>
    </row>
    <row r="107" spans="1:30" ht="12.75" hidden="1">
      <c r="A107" s="61"/>
      <c r="B107" s="61"/>
      <c r="C107" s="62"/>
      <c r="D107" s="62"/>
      <c r="E107" s="107" t="s">
        <v>200</v>
      </c>
      <c r="F107" s="62"/>
      <c r="G107" s="62"/>
      <c r="H107" s="62"/>
      <c r="I107" s="62"/>
      <c r="J107" s="62"/>
      <c r="K107" s="62"/>
      <c r="L107" s="62"/>
      <c r="M107" s="94"/>
      <c r="N107" s="95">
        <f>E42</f>
        <v>0</v>
      </c>
      <c r="O107" s="62"/>
      <c r="P107" s="62"/>
      <c r="V107"/>
      <c r="Z107" s="45">
        <v>6</v>
      </c>
      <c r="AD107" s="45">
        <v>0.4</v>
      </c>
    </row>
    <row r="108" spans="1:30" ht="12.75" hidden="1">
      <c r="A108" s="61"/>
      <c r="B108" s="61"/>
      <c r="C108" s="62"/>
      <c r="D108" s="62"/>
      <c r="E108" s="107" t="s">
        <v>201</v>
      </c>
      <c r="F108" s="62"/>
      <c r="G108" s="62"/>
      <c r="H108" s="62"/>
      <c r="I108" s="62"/>
      <c r="J108" s="62"/>
      <c r="K108" s="62"/>
      <c r="L108" s="62"/>
      <c r="M108" s="94"/>
      <c r="N108" s="95">
        <f>E43</f>
        <v>0</v>
      </c>
      <c r="O108" s="62"/>
      <c r="P108" s="62"/>
      <c r="V108"/>
      <c r="Z108" s="45">
        <v>7</v>
      </c>
      <c r="AD108" s="45">
        <v>0.3</v>
      </c>
    </row>
    <row r="109" spans="1:30" ht="12.75" hidden="1">
      <c r="A109" s="61"/>
      <c r="B109" s="61"/>
      <c r="C109" s="62"/>
      <c r="D109" s="62"/>
      <c r="E109" s="107" t="s">
        <v>202</v>
      </c>
      <c r="F109" s="62"/>
      <c r="G109" s="62"/>
      <c r="H109" s="62"/>
      <c r="I109" s="62"/>
      <c r="J109" s="62"/>
      <c r="K109" s="62"/>
      <c r="L109" s="62"/>
      <c r="M109" s="94"/>
      <c r="N109" s="95">
        <f>M52</f>
        <v>0</v>
      </c>
      <c r="O109" s="62"/>
      <c r="P109" s="62"/>
      <c r="V109"/>
      <c r="Z109" s="45">
        <v>8</v>
      </c>
      <c r="AD109" s="45">
        <v>0.22</v>
      </c>
    </row>
    <row r="110" spans="1:30" ht="12.75" hidden="1">
      <c r="A110" s="61"/>
      <c r="B110" s="61"/>
      <c r="C110" s="62"/>
      <c r="D110" s="62"/>
      <c r="E110" s="107" t="s">
        <v>203</v>
      </c>
      <c r="F110" s="62"/>
      <c r="G110" s="62"/>
      <c r="H110" s="62"/>
      <c r="I110" s="62"/>
      <c r="J110" s="62"/>
      <c r="K110" s="62"/>
      <c r="L110" s="62"/>
      <c r="M110" s="94"/>
      <c r="N110" s="95">
        <f>E53</f>
        <v>0</v>
      </c>
      <c r="O110" s="62"/>
      <c r="P110" s="62"/>
      <c r="V110"/>
      <c r="Z110" s="45">
        <v>9</v>
      </c>
      <c r="AD110" s="45">
        <v>-0.13</v>
      </c>
    </row>
    <row r="111" spans="1:30" ht="12.75" hidden="1">
      <c r="A111" s="61"/>
      <c r="B111" s="61"/>
      <c r="C111" s="61"/>
      <c r="D111" s="61"/>
      <c r="E111" s="107" t="s">
        <v>204</v>
      </c>
      <c r="F111" s="61"/>
      <c r="G111" s="61"/>
      <c r="H111" s="61"/>
      <c r="I111" s="61"/>
      <c r="J111" s="61"/>
      <c r="K111" s="61"/>
      <c r="L111" s="61"/>
      <c r="M111" s="94"/>
      <c r="N111" s="95">
        <f>M54</f>
        <v>0</v>
      </c>
      <c r="O111" s="62"/>
      <c r="P111" s="62"/>
      <c r="V111"/>
      <c r="Z111" s="45">
        <v>10</v>
      </c>
      <c r="AD111" s="45">
        <v>0</v>
      </c>
    </row>
    <row r="112" spans="1:30" ht="12.75" hidden="1">
      <c r="A112" s="61"/>
      <c r="B112" s="61"/>
      <c r="C112" s="62"/>
      <c r="D112" s="62"/>
      <c r="E112" s="107" t="s">
        <v>205</v>
      </c>
      <c r="F112" s="62"/>
      <c r="G112" s="62"/>
      <c r="H112" s="62"/>
      <c r="I112" s="62"/>
      <c r="J112" s="62"/>
      <c r="K112" s="62"/>
      <c r="L112" s="62"/>
      <c r="M112" s="94"/>
      <c r="N112" s="95">
        <f>M57</f>
        <v>0</v>
      </c>
      <c r="O112" s="62"/>
      <c r="P112" s="62"/>
      <c r="V112"/>
      <c r="Z112" s="45">
        <v>11</v>
      </c>
      <c r="AD112" s="45">
        <v>-0.32</v>
      </c>
    </row>
    <row r="113" spans="1:30" ht="12.75" hidden="1">
      <c r="A113" s="61"/>
      <c r="B113" s="61"/>
      <c r="C113" s="62"/>
      <c r="D113" s="62"/>
      <c r="E113" s="107" t="s">
        <v>206</v>
      </c>
      <c r="F113" s="62"/>
      <c r="G113" s="62"/>
      <c r="H113" s="62"/>
      <c r="I113" s="62"/>
      <c r="J113" s="62"/>
      <c r="K113" s="62"/>
      <c r="L113" s="62"/>
      <c r="M113" s="94"/>
      <c r="N113" s="95">
        <f>E58</f>
        <v>0</v>
      </c>
      <c r="O113" s="61"/>
      <c r="P113" s="61"/>
      <c r="V113"/>
      <c r="Z113" s="45">
        <v>12</v>
      </c>
      <c r="AD113" s="45">
        <v>-0.24</v>
      </c>
    </row>
    <row r="114" spans="1:30" ht="12.75" hidden="1">
      <c r="A114" s="61"/>
      <c r="B114" s="61"/>
      <c r="C114" s="62"/>
      <c r="D114" s="62"/>
      <c r="E114" s="107" t="s">
        <v>207</v>
      </c>
      <c r="F114" s="62"/>
      <c r="G114" s="62"/>
      <c r="H114" s="62"/>
      <c r="I114" s="62"/>
      <c r="J114" s="62"/>
      <c r="K114" s="62"/>
      <c r="L114" s="62"/>
      <c r="M114" s="94"/>
      <c r="N114" s="95">
        <f>E60</f>
        <v>0</v>
      </c>
      <c r="O114" s="62"/>
      <c r="P114" s="62"/>
      <c r="V114"/>
      <c r="Z114" s="45">
        <v>13</v>
      </c>
      <c r="AD114" s="45">
        <v>0.61</v>
      </c>
    </row>
    <row r="115" spans="1:30" ht="12.75" hidden="1">
      <c r="A115" s="61"/>
      <c r="B115" s="61"/>
      <c r="C115" s="62"/>
      <c r="D115" s="62"/>
      <c r="E115" s="107" t="s">
        <v>208</v>
      </c>
      <c r="F115" s="62"/>
      <c r="G115" s="62"/>
      <c r="H115" s="62"/>
      <c r="I115" s="62"/>
      <c r="J115" s="62"/>
      <c r="K115" s="62"/>
      <c r="L115" s="62"/>
      <c r="M115" s="94"/>
      <c r="N115" s="95">
        <f>E63</f>
        <v>0</v>
      </c>
      <c r="O115" s="62"/>
      <c r="P115" s="62"/>
      <c r="V115"/>
      <c r="Z115" s="45">
        <v>14</v>
      </c>
      <c r="AD115" s="45">
        <v>0.31</v>
      </c>
    </row>
    <row r="116" spans="1:30" ht="12.75" hidden="1">
      <c r="A116" s="61"/>
      <c r="B116" s="61"/>
      <c r="C116" s="61"/>
      <c r="D116" s="61"/>
      <c r="E116" s="107" t="s">
        <v>209</v>
      </c>
      <c r="F116" s="61"/>
      <c r="G116" s="61"/>
      <c r="H116" s="61"/>
      <c r="I116" s="61"/>
      <c r="J116" s="61"/>
      <c r="K116" s="61"/>
      <c r="L116" s="61"/>
      <c r="M116" s="61"/>
      <c r="N116" s="62"/>
      <c r="O116" s="62"/>
      <c r="P116" s="62"/>
      <c r="V116"/>
      <c r="Z116" s="45">
        <v>15</v>
      </c>
      <c r="AD116" s="45">
        <v>-0.06</v>
      </c>
    </row>
    <row r="117" spans="1:30" ht="12.75" hidden="1">
      <c r="A117" s="61"/>
      <c r="B117" s="61"/>
      <c r="C117" s="62"/>
      <c r="D117" s="62"/>
      <c r="E117" s="107" t="s">
        <v>210</v>
      </c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V117"/>
      <c r="Z117" s="45">
        <v>16</v>
      </c>
      <c r="AD117" s="45">
        <v>0.21</v>
      </c>
    </row>
    <row r="118" spans="1:30" ht="12.75" hidden="1">
      <c r="A118" s="61"/>
      <c r="B118" s="61"/>
      <c r="C118" s="62"/>
      <c r="D118" s="62"/>
      <c r="E118" s="107" t="s">
        <v>211</v>
      </c>
      <c r="F118" s="62"/>
      <c r="G118" s="62"/>
      <c r="H118" s="62"/>
      <c r="I118" s="62"/>
      <c r="J118" s="62"/>
      <c r="K118" s="62"/>
      <c r="L118" s="62"/>
      <c r="M118" s="62"/>
      <c r="N118" s="61"/>
      <c r="O118" s="61"/>
      <c r="P118" s="61"/>
      <c r="V118"/>
      <c r="Z118" s="45">
        <v>17</v>
      </c>
      <c r="AD118" s="45">
        <v>0.06</v>
      </c>
    </row>
    <row r="119" spans="1:22" ht="12.75" hidden="1">
      <c r="A119" s="61"/>
      <c r="B119" s="61"/>
      <c r="C119" s="61"/>
      <c r="D119" s="61"/>
      <c r="E119" s="107" t="s">
        <v>212</v>
      </c>
      <c r="F119" s="61"/>
      <c r="G119" s="61"/>
      <c r="H119" s="61"/>
      <c r="I119" s="61"/>
      <c r="J119" s="61"/>
      <c r="K119" s="61"/>
      <c r="L119" s="61"/>
      <c r="M119" s="61"/>
      <c r="N119" s="62"/>
      <c r="O119" s="62"/>
      <c r="P119" s="62"/>
      <c r="V119"/>
    </row>
    <row r="120" spans="1:22" ht="12.75" hidden="1">
      <c r="A120" s="61"/>
      <c r="B120" s="61"/>
      <c r="C120" s="62"/>
      <c r="D120" s="62"/>
      <c r="E120" s="107" t="s">
        <v>213</v>
      </c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V120"/>
    </row>
    <row r="121" spans="1:22" ht="12.75" hidden="1">
      <c r="A121" s="61"/>
      <c r="B121" s="61"/>
      <c r="C121" s="61"/>
      <c r="D121" s="61"/>
      <c r="E121" s="107" t="s">
        <v>214</v>
      </c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V121"/>
    </row>
    <row r="122" spans="1:22" ht="12.75" hidden="1">
      <c r="A122" s="61"/>
      <c r="B122" s="61"/>
      <c r="C122" s="62"/>
      <c r="D122" s="62"/>
      <c r="E122" s="107" t="s">
        <v>215</v>
      </c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V122"/>
    </row>
    <row r="123" spans="1:22" ht="12.75" hidden="1">
      <c r="A123" s="61"/>
      <c r="B123" s="61"/>
      <c r="C123" s="62"/>
      <c r="D123" s="62"/>
      <c r="E123" s="107" t="s">
        <v>216</v>
      </c>
      <c r="F123" s="62"/>
      <c r="G123" s="62"/>
      <c r="H123" s="62"/>
      <c r="I123" s="62"/>
      <c r="J123" s="62"/>
      <c r="K123" s="62"/>
      <c r="L123" s="62"/>
      <c r="M123" s="62"/>
      <c r="N123" s="61"/>
      <c r="O123" s="61"/>
      <c r="P123" s="61"/>
      <c r="V123"/>
    </row>
    <row r="124" spans="1:22" ht="12.75" hidden="1">
      <c r="A124" s="61"/>
      <c r="B124" s="61"/>
      <c r="C124" s="62"/>
      <c r="D124" s="62"/>
      <c r="E124" s="107" t="s">
        <v>217</v>
      </c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V124"/>
    </row>
    <row r="125" spans="1:22" ht="12.75" hidden="1">
      <c r="A125" s="61"/>
      <c r="B125" s="61"/>
      <c r="C125" s="61"/>
      <c r="D125" s="61"/>
      <c r="E125" s="107" t="s">
        <v>218</v>
      </c>
      <c r="F125" s="61"/>
      <c r="G125" s="61"/>
      <c r="H125" s="61"/>
      <c r="I125" s="61"/>
      <c r="J125" s="61"/>
      <c r="K125" s="61"/>
      <c r="L125" s="61"/>
      <c r="M125" s="61"/>
      <c r="N125" s="62"/>
      <c r="O125" s="62"/>
      <c r="P125" s="62"/>
      <c r="V125"/>
    </row>
    <row r="126" spans="1:22" ht="12.75" hidden="1">
      <c r="A126" s="61"/>
      <c r="B126" s="61"/>
      <c r="C126" s="62"/>
      <c r="D126" s="62"/>
      <c r="E126" s="107" t="s">
        <v>219</v>
      </c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V126"/>
    </row>
    <row r="127" spans="1:22" ht="12.75" hidden="1">
      <c r="A127" s="61"/>
      <c r="B127" s="61"/>
      <c r="C127" s="62"/>
      <c r="D127" s="62"/>
      <c r="E127" s="107" t="s">
        <v>220</v>
      </c>
      <c r="F127" s="62"/>
      <c r="G127" s="62"/>
      <c r="H127" s="62"/>
      <c r="I127" s="62"/>
      <c r="J127" s="62"/>
      <c r="K127" s="62"/>
      <c r="L127" s="62"/>
      <c r="M127" s="62"/>
      <c r="N127" s="61"/>
      <c r="O127" s="61"/>
      <c r="P127" s="61"/>
      <c r="V127"/>
    </row>
    <row r="128" spans="1:22" ht="12.75" hidden="1">
      <c r="A128" s="61"/>
      <c r="B128" s="61"/>
      <c r="C128" s="62"/>
      <c r="D128" s="62"/>
      <c r="E128" s="107" t="s">
        <v>221</v>
      </c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V128"/>
    </row>
    <row r="129" spans="1:22" ht="12.75" hidden="1">
      <c r="A129" s="61"/>
      <c r="B129" s="61"/>
      <c r="C129" s="62"/>
      <c r="D129" s="62"/>
      <c r="E129" s="107" t="s">
        <v>222</v>
      </c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V129"/>
    </row>
    <row r="130" spans="1:22" ht="12.75" hidden="1">
      <c r="A130" s="61"/>
      <c r="B130" s="61"/>
      <c r="C130" s="62"/>
      <c r="D130" s="62"/>
      <c r="E130" s="107" t="s">
        <v>223</v>
      </c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V130"/>
    </row>
    <row r="131" spans="1:22" ht="12.75" hidden="1">
      <c r="A131" s="46"/>
      <c r="B131" s="61"/>
      <c r="C131" s="62"/>
      <c r="D131" s="62"/>
      <c r="E131" s="107" t="s">
        <v>224</v>
      </c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V131"/>
    </row>
    <row r="132" spans="1:22" ht="12.75" hidden="1">
      <c r="A132" s="46"/>
      <c r="E132" s="107" t="s">
        <v>257</v>
      </c>
      <c r="N132" s="62"/>
      <c r="O132" s="62"/>
      <c r="P132" s="62"/>
      <c r="V132"/>
    </row>
    <row r="133" spans="1:22" ht="12.75" hidden="1">
      <c r="A133" s="46"/>
      <c r="E133" s="107" t="s">
        <v>225</v>
      </c>
      <c r="N133" s="62"/>
      <c r="O133" s="62"/>
      <c r="P133" s="62"/>
      <c r="V133"/>
    </row>
    <row r="134" spans="1:22" ht="12.75" hidden="1">
      <c r="A134" s="46"/>
      <c r="E134" s="107" t="s">
        <v>226</v>
      </c>
      <c r="V134"/>
    </row>
    <row r="135" spans="1:22" ht="12.75" hidden="1">
      <c r="A135" s="46"/>
      <c r="E135" s="107" t="s">
        <v>227</v>
      </c>
      <c r="V135"/>
    </row>
    <row r="136" spans="1:22" ht="12.75" hidden="1">
      <c r="A136" s="46"/>
      <c r="E136" s="107" t="s">
        <v>228</v>
      </c>
      <c r="V136"/>
    </row>
    <row r="137" spans="1:22" ht="12.75" hidden="1">
      <c r="A137" s="46"/>
      <c r="E137" s="107" t="s">
        <v>229</v>
      </c>
      <c r="V137"/>
    </row>
    <row r="138" spans="1:22" ht="12.75" hidden="1">
      <c r="A138" s="46"/>
      <c r="E138" s="107" t="s">
        <v>230</v>
      </c>
      <c r="V138"/>
    </row>
    <row r="139" spans="1:22" ht="12.75" hidden="1">
      <c r="A139" s="46"/>
      <c r="E139" s="107" t="s">
        <v>231</v>
      </c>
      <c r="V139"/>
    </row>
    <row r="140" spans="1:22" ht="12.75" hidden="1">
      <c r="A140" s="46"/>
      <c r="E140" s="107" t="s">
        <v>302</v>
      </c>
      <c r="V140"/>
    </row>
    <row r="141" spans="1:22" ht="12.75" hidden="1">
      <c r="A141" s="46"/>
      <c r="E141" s="107" t="s">
        <v>232</v>
      </c>
      <c r="V141"/>
    </row>
    <row r="142" spans="1:22" ht="12.75" hidden="1">
      <c r="A142" s="46"/>
      <c r="E142" s="107" t="s">
        <v>233</v>
      </c>
      <c r="V142"/>
    </row>
    <row r="143" spans="5:22" ht="12.75" hidden="1">
      <c r="E143" s="107" t="s">
        <v>234</v>
      </c>
      <c r="V143"/>
    </row>
    <row r="144" spans="5:22" ht="12.75" hidden="1">
      <c r="E144" s="107" t="s">
        <v>235</v>
      </c>
      <c r="V144"/>
    </row>
    <row r="145" spans="5:22" ht="12.75" hidden="1">
      <c r="E145" s="107" t="s">
        <v>236</v>
      </c>
      <c r="V145"/>
    </row>
    <row r="146" spans="5:22" ht="12.75" hidden="1">
      <c r="E146" s="107" t="s">
        <v>237</v>
      </c>
      <c r="V146"/>
    </row>
    <row r="147" spans="5:22" ht="12.75" hidden="1">
      <c r="E147" s="107" t="s">
        <v>238</v>
      </c>
      <c r="V147"/>
    </row>
    <row r="148" spans="5:22" ht="12.75" hidden="1">
      <c r="E148" s="107" t="s">
        <v>301</v>
      </c>
      <c r="V148"/>
    </row>
    <row r="149" spans="5:22" ht="12.75" hidden="1">
      <c r="E149" s="107" t="s">
        <v>239</v>
      </c>
      <c r="V149"/>
    </row>
    <row r="150" spans="5:22" ht="12.75" hidden="1">
      <c r="E150" s="107" t="s">
        <v>240</v>
      </c>
      <c r="V150"/>
    </row>
    <row r="151" spans="5:22" ht="12.75" hidden="1">
      <c r="E151" s="107" t="s">
        <v>241</v>
      </c>
      <c r="V151"/>
    </row>
    <row r="152" spans="5:22" ht="12.75" hidden="1">
      <c r="E152" s="107" t="s">
        <v>242</v>
      </c>
      <c r="V152"/>
    </row>
    <row r="153" spans="5:22" ht="12.75" hidden="1">
      <c r="E153" s="107" t="s">
        <v>243</v>
      </c>
      <c r="V153"/>
    </row>
    <row r="154" spans="5:22" ht="12.75" hidden="1">
      <c r="E154" s="107" t="s">
        <v>244</v>
      </c>
      <c r="V154"/>
    </row>
    <row r="155" spans="5:22" ht="12.75" hidden="1">
      <c r="E155" s="107" t="s">
        <v>245</v>
      </c>
      <c r="V155"/>
    </row>
    <row r="156" spans="5:22" ht="12.75" hidden="1">
      <c r="E156" s="107" t="s">
        <v>246</v>
      </c>
      <c r="V156"/>
    </row>
    <row r="157" spans="5:22" ht="12.75" hidden="1">
      <c r="E157" s="107" t="s">
        <v>247</v>
      </c>
      <c r="V157"/>
    </row>
    <row r="158" spans="5:22" ht="12.75" hidden="1">
      <c r="E158" s="107" t="s">
        <v>248</v>
      </c>
      <c r="V158"/>
    </row>
    <row r="159" spans="5:22" ht="12.75" hidden="1">
      <c r="E159" s="107" t="s">
        <v>249</v>
      </c>
      <c r="V159"/>
    </row>
    <row r="160" spans="5:22" ht="12.75" hidden="1">
      <c r="E160" s="107" t="s">
        <v>250</v>
      </c>
      <c r="V160"/>
    </row>
    <row r="161" spans="5:22" ht="12.75" hidden="1">
      <c r="E161" s="107" t="s">
        <v>251</v>
      </c>
      <c r="V161"/>
    </row>
    <row r="162" spans="5:22" ht="12.75" hidden="1">
      <c r="E162" s="107" t="s">
        <v>252</v>
      </c>
      <c r="V162"/>
    </row>
    <row r="163" spans="5:22" ht="12.75" hidden="1">
      <c r="E163" s="107" t="s">
        <v>253</v>
      </c>
      <c r="V163"/>
    </row>
    <row r="164" spans="5:22" ht="12.75" hidden="1">
      <c r="E164" s="107" t="s">
        <v>254</v>
      </c>
      <c r="V164"/>
    </row>
    <row r="165" spans="5:22" ht="12.75" hidden="1">
      <c r="E165" s="107" t="s">
        <v>255</v>
      </c>
      <c r="V165"/>
    </row>
    <row r="166" spans="5:22" ht="12.75" hidden="1">
      <c r="E166" s="107" t="s">
        <v>256</v>
      </c>
      <c r="V166"/>
    </row>
    <row r="167" ht="12.75">
      <c r="V167"/>
    </row>
    <row r="257" ht="12.75">
      <c r="E257" s="46"/>
    </row>
    <row r="258" spans="2:13" ht="12.75">
      <c r="B258" s="46"/>
      <c r="C258" s="46"/>
      <c r="D258" s="46"/>
      <c r="F258" s="46"/>
      <c r="G258" s="46"/>
      <c r="H258" s="46"/>
      <c r="I258" s="46"/>
      <c r="J258" s="46"/>
      <c r="K258" s="46"/>
      <c r="L258" s="46"/>
      <c r="M258" s="46"/>
    </row>
    <row r="260" spans="14:16" ht="12.75">
      <c r="N260" s="46"/>
      <c r="O260" s="46"/>
      <c r="P260" s="46"/>
    </row>
    <row r="268" ht="12.75">
      <c r="A268" s="46"/>
    </row>
  </sheetData>
  <sheetProtection password="DD97" sheet="1"/>
  <mergeCells count="10">
    <mergeCell ref="Z7:AB7"/>
    <mergeCell ref="E96:L96"/>
    <mergeCell ref="V96:AC96"/>
    <mergeCell ref="B99:E99"/>
    <mergeCell ref="Z1:AD1"/>
    <mergeCell ref="C3:L3"/>
    <mergeCell ref="N3:S3"/>
    <mergeCell ref="C5:L5"/>
    <mergeCell ref="N5:S5"/>
    <mergeCell ref="Z5:AD5"/>
  </mergeCells>
  <conditionalFormatting sqref="AD97:AD99">
    <cfRule type="containsBlanks" priority="7" dxfId="2">
      <formula>LEN(TRIM(AD97))=0</formula>
    </cfRule>
    <cfRule type="cellIs" priority="8" dxfId="4" operator="greaterThan">
      <formula>0.8</formula>
    </cfRule>
    <cfRule type="cellIs" priority="9" dxfId="3" operator="between">
      <formula>0.6</formula>
      <formula>0.7999999999</formula>
    </cfRule>
    <cfRule type="cellIs" priority="10" dxfId="12" operator="between">
      <formula>0.4</formula>
      <formula>0.5999999999</formula>
    </cfRule>
    <cfRule type="cellIs" priority="11" dxfId="13" operator="between">
      <formula>0.2</formula>
      <formula>0.39999999999999</formula>
    </cfRule>
    <cfRule type="cellIs" priority="12" dxfId="14" operator="between">
      <formula>0</formula>
      <formula>0.199999999999999</formula>
    </cfRule>
  </conditionalFormatting>
  <conditionalFormatting sqref="AD100">
    <cfRule type="containsBlanks" priority="1" dxfId="2">
      <formula>LEN(TRIM(AD100))=0</formula>
    </cfRule>
    <cfRule type="cellIs" priority="2" dxfId="0" operator="greaterThan">
      <formula>0.8</formula>
    </cfRule>
    <cfRule type="cellIs" priority="3" dxfId="0" operator="between">
      <formula>0.6</formula>
      <formula>0.7999999999</formula>
    </cfRule>
    <cfRule type="cellIs" priority="4" dxfId="0" operator="between">
      <formula>0.4</formula>
      <formula>0.5999999999</formula>
    </cfRule>
    <cfRule type="cellIs" priority="5" dxfId="0" operator="between">
      <formula>0.2</formula>
      <formula>0.39999999999999</formula>
    </cfRule>
    <cfRule type="cellIs" priority="6" dxfId="0" operator="between">
      <formula>0</formula>
      <formula>0.199999999999999</formula>
    </cfRule>
  </conditionalFormatting>
  <dataValidations count="7">
    <dataValidation type="list" allowBlank="1" showInputMessage="1" showErrorMessage="1" sqref="Z7:AB7">
      <formula1>$Z$102:$Z$118</formula1>
    </dataValidation>
    <dataValidation type="date" allowBlank="1" showInputMessage="1" showErrorMessage="1" error="Saisir la date d'échantillonnage&#10;Format : jj.mm.aaaa" sqref="N3:S3">
      <formula1>40179</formula1>
      <formula2>47848</formula2>
    </dataValidation>
    <dataValidation type="whole" allowBlank="1" showInputMessage="1" showErrorMessage="1" error="Saisir une altitude  &gt; 190 m/sm&#10;comme nombre entier" sqref="N5:S5">
      <formula1>190</formula1>
      <formula2>4500</formula2>
    </dataValidation>
    <dataValidation type="whole" allowBlank="1" showInputMessage="1" showErrorMessage="1" error="insérer un nombre entier &lt;10000" sqref="E49 E51 E53:E55 E57:E58 E60 E62:E63 E30:E40 V69 E9:E11 E14:E17 E21:E24 M27 E42:E45 V24:V25 V10:V20 V22 V45 V27:V43 V71:V94 V47:V67 E88:E94 E78:E86 E66:E76 M34 M37 M52 M10 M54 E26 M15 M96 AD96">
      <formula1>1</formula1>
      <formula2>10000</formula2>
    </dataValidation>
    <dataValidation type="whole" allowBlank="1" showInputMessage="1" showErrorMessage="1" error="Saisir les COORD X au&#10;Format CH1903 / LV03&#10;commme nombre entier&#10;&gt; 062000&#10;&lt; 300000" sqref="AD3">
      <formula1>62000</formula1>
      <formula2>300000</formula2>
    </dataValidation>
    <dataValidation type="whole" allowBlank="1" showInputMessage="1" showErrorMessage="1" error="Saisir les COORD X au&#10;Format CH1903 / LV03&#10;commme nombre entier&#10;&gt; 480000&#10;&lt; 850000" sqref="AC3">
      <formula1>480000</formula1>
      <formula2>850000</formula2>
    </dataValidation>
    <dataValidation type="list" allowBlank="1" showInputMessage="1" showErrorMessage="1" sqref="V96:AC96 E96:L96">
      <formula1>OFFSET($E$102:$E$166,MATCH(V96&amp;"*",$E$102:$E$166,0)-1,,COUNTIF($E$102:$E$166,V96&amp;"*"))</formula1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58" r:id="rId3"/>
  <ignoredErrors>
    <ignoredError sqref="D71 V9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AQUARIUS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STUCKI</dc:creator>
  <cp:keywords/>
  <dc:description/>
  <cp:lastModifiedBy>Pascal</cp:lastModifiedBy>
  <cp:lastPrinted>2019-02-18T17:28:37Z</cp:lastPrinted>
  <dcterms:created xsi:type="dcterms:W3CDTF">2008-10-08T11:26:37Z</dcterms:created>
  <dcterms:modified xsi:type="dcterms:W3CDTF">2020-01-06T08:16:57Z</dcterms:modified>
  <cp:category/>
  <cp:version/>
  <cp:contentType/>
  <cp:contentStatus/>
</cp:coreProperties>
</file>